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OFBdw3OarrWc/5rVzpTyJ0OlDOrv9vSiY5KTTicNcsqoGZ34vYJKgQ0CdtbcJHNXz8te6dCZkMfCnrKj173dzA==" workbookSaltValue="cgmm684++6PiCp6jYBG7/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U26" i="16"/>
  <c r="BE17" i="13"/>
  <c r="E32" i="20"/>
  <c r="M32" i="20"/>
  <c r="AI32" i="20"/>
  <c r="AM32" i="20"/>
  <c r="U10" i="11"/>
  <c r="I32" i="20"/>
  <c r="J32" i="20"/>
  <c r="Q32" i="20"/>
  <c r="AK32" i="20"/>
  <c r="AE32" i="20"/>
  <c r="U12" i="11"/>
  <c r="AU32" i="20"/>
  <c r="AZ32" i="20"/>
  <c r="G14" i="14"/>
  <c r="O18" i="11"/>
  <c r="R32" i="20"/>
  <c r="W32" i="20"/>
  <c r="F32" i="20"/>
  <c r="G26" i="14"/>
  <c r="S32" i="20"/>
  <c r="K32" i="20"/>
  <c r="O17" i="11"/>
  <c r="AJ32" i="20"/>
  <c r="G30" i="14"/>
  <c r="G23" i="14"/>
  <c r="U18" i="11"/>
  <c r="AX32" i="20"/>
  <c r="Y32" i="20"/>
  <c r="L32" i="20"/>
  <c r="AG32" i="20"/>
  <c r="H32" i="20"/>
  <c r="T32" i="21"/>
  <c r="AF32" i="20"/>
  <c r="AQ32" i="21"/>
  <c r="BF17" i="8" l="1"/>
  <c r="AL21" i="11"/>
  <c r="L17" i="14"/>
  <c r="BF17" i="13"/>
  <c r="R13" i="17"/>
  <c r="P13" i="14"/>
  <c r="BF16" i="13"/>
  <c r="BG17" i="13"/>
  <c r="R8" i="9"/>
  <c r="BH30" i="16" s="1"/>
  <c r="S13" i="17"/>
  <c r="S12" i="14"/>
  <c r="V12" i="14" s="1"/>
  <c r="S17" i="14"/>
  <c r="V17" i="14" s="1"/>
  <c r="R10" i="14"/>
  <c r="R17" i="14"/>
  <c r="R29" i="14"/>
  <c r="T21" i="11"/>
  <c r="T29" i="11"/>
  <c r="S9" i="14"/>
  <c r="V9" i="14" s="1"/>
  <c r="T20" i="11"/>
  <c r="X25" i="17"/>
  <c r="AA28" i="16"/>
  <c r="AA29" i="16"/>
  <c r="AA17" i="16"/>
  <c r="X22" i="17"/>
  <c r="X13" i="17"/>
  <c r="X10" i="17"/>
  <c r="AA18" i="16"/>
  <c r="X16" i="17"/>
  <c r="X9" i="17"/>
  <c r="X11" i="17"/>
  <c r="T18" i="20"/>
  <c r="X18" i="20"/>
  <c r="X19" i="20"/>
  <c r="X20" i="20"/>
  <c r="AA12" i="21"/>
  <c r="V16" i="16"/>
  <c r="V19"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X32" i="20"/>
  <c r="AA32" i="20"/>
  <c r="AN32" i="20"/>
  <c r="AD32" i="20"/>
  <c r="AC32" i="20"/>
  <c r="AV32" i="20"/>
  <c r="O10" i="11"/>
  <c r="AP32" i="20"/>
  <c r="U17" i="11"/>
  <c r="W32" i="21"/>
  <c r="AQ32" i="20"/>
  <c r="AO32" i="20"/>
  <c r="AL32" i="20"/>
  <c r="AH32" i="20"/>
  <c r="T32" i="20"/>
  <c r="K17" i="12" l="1"/>
  <c r="BF23" i="13"/>
  <c r="T18" i="11"/>
  <c r="S16" i="14"/>
  <c r="V16" i="14" s="1"/>
  <c r="T11" i="11"/>
  <c r="T25" i="11"/>
  <c r="T13" i="11"/>
  <c r="R19" i="14"/>
  <c r="R12" i="14"/>
  <c r="S29" i="14"/>
  <c r="V29" i="14" s="1"/>
  <c r="S19" i="14"/>
  <c r="V19" i="14" s="1"/>
  <c r="R13" i="14"/>
  <c r="S11" i="14"/>
  <c r="V11" i="14" s="1"/>
  <c r="V13" i="16"/>
  <c r="T12" i="11"/>
  <c r="R11" i="14"/>
  <c r="S13" i="14"/>
  <c r="V13" i="14" s="1"/>
  <c r="V14" i="14" s="1"/>
  <c r="T22" i="11"/>
  <c r="R22" i="14"/>
  <c r="S18" i="14"/>
  <c r="V18" i="14" s="1"/>
  <c r="X12" i="21"/>
  <c r="T9" i="11"/>
  <c r="BF11" i="11"/>
  <c r="BH11" i="16"/>
  <c r="BH21" i="16"/>
  <c r="S20" i="14"/>
  <c r="V20" i="14" s="1"/>
  <c r="BL9" i="11"/>
  <c r="Q9" i="11" s="1"/>
  <c r="BK13" i="11"/>
  <c r="BH18" i="16"/>
  <c r="BH16" i="11"/>
  <c r="BF19" i="11"/>
  <c r="BH19" i="16"/>
  <c r="BJ19" i="11"/>
  <c r="P18" i="17"/>
  <c r="BL18" i="11"/>
  <c r="P18" i="11" s="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V25" i="11"/>
  <c r="BF17" i="11"/>
  <c r="Q17" i="11" s="1"/>
  <c r="BF10" i="11"/>
  <c r="BL12" i="11"/>
  <c r="V11" i="11"/>
  <c r="BI25" i="11"/>
  <c r="V13" i="11"/>
  <c r="BI19" i="11"/>
  <c r="AP22" i="20"/>
  <c r="R25" i="14"/>
  <c r="R26" i="14" s="1"/>
  <c r="BL25" i="11"/>
  <c r="Q25" i="11" s="1"/>
  <c r="BM16" i="11"/>
  <c r="AO28" i="17"/>
  <c r="T16" i="16"/>
  <c r="T23" i="16" s="1"/>
  <c r="T31" i="16" s="1"/>
  <c r="BU16" i="17"/>
  <c r="BW19" i="20"/>
  <c r="BW18" i="20"/>
  <c r="BV12" i="16"/>
  <c r="BW12" i="20"/>
  <c r="U13" i="17"/>
  <c r="U10" i="17"/>
  <c r="BV10" i="16"/>
  <c r="BV29" i="16"/>
  <c r="BW21" i="20"/>
  <c r="BV9" i="16"/>
  <c r="AZ17" i="11"/>
  <c r="BG12" i="11"/>
  <c r="BI20" i="11"/>
  <c r="BI9" i="11"/>
  <c r="BL28" i="11"/>
  <c r="AO29" i="17"/>
  <c r="S10" i="17"/>
  <c r="BI29" i="11"/>
  <c r="BG17" i="11"/>
  <c r="S18" i="17"/>
  <c r="AO25" i="17"/>
  <c r="BK22" i="11"/>
  <c r="BH22" i="11"/>
  <c r="L22" i="2"/>
  <c r="S17" i="17"/>
  <c r="X19" i="16"/>
  <c r="L20" i="2"/>
  <c r="V10" i="16"/>
  <c r="X13"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21" i="11"/>
  <c r="BK21" i="11"/>
  <c r="BM12" i="11"/>
  <c r="V9" i="11"/>
  <c r="BJ16" i="11"/>
  <c r="AP16" i="20"/>
  <c r="BG16" i="11"/>
  <c r="BH13" i="11"/>
  <c r="V20" i="11"/>
  <c r="BL13" i="11"/>
  <c r="Q13" i="11" s="1"/>
  <c r="BH18" i="11"/>
  <c r="BG19" i="11"/>
  <c r="AZ9" i="11"/>
  <c r="BL29" i="11"/>
  <c r="P29" i="11" s="1"/>
  <c r="BJ25" i="11"/>
  <c r="AZ16" i="11"/>
  <c r="AZ23" i="11" s="1"/>
  <c r="AZ26" i="11" s="1"/>
  <c r="BW20" i="20"/>
  <c r="BV19" i="16"/>
  <c r="BV18" i="16"/>
  <c r="X20" i="16"/>
  <c r="BU10" i="17"/>
  <c r="BW25" i="20"/>
  <c r="BU22" i="17"/>
  <c r="BV16" i="16"/>
  <c r="BW16" i="20"/>
  <c r="BU20" i="17"/>
  <c r="BW29" i="20"/>
  <c r="BW22" i="20"/>
  <c r="BU18" i="17"/>
  <c r="V12" i="16"/>
  <c r="BU12" i="17"/>
  <c r="S28" i="17"/>
  <c r="T16" i="11"/>
  <c r="Q18" i="17"/>
  <c r="BH10" i="11"/>
  <c r="AQ10" i="21"/>
  <c r="BL10" i="11"/>
  <c r="BH10" i="16"/>
  <c r="BH11" i="11"/>
  <c r="BM21" i="11"/>
  <c r="P21" i="11" s="1"/>
  <c r="BM9" i="11"/>
  <c r="BH12" i="16"/>
  <c r="BJ17" i="11"/>
  <c r="BL17" i="11"/>
  <c r="X12" i="17"/>
  <c r="X22" i="16"/>
  <c r="S16" i="17"/>
  <c r="L12" i="2"/>
  <c r="X10" i="21"/>
  <c r="U9" i="17"/>
  <c r="U31" i="17" s="1"/>
  <c r="V9"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I18" i="12" l="1"/>
  <c r="AQ17" i="11"/>
  <c r="P9" i="11"/>
  <c r="BL23" i="11"/>
  <c r="P16" i="11"/>
  <c r="BF23" i="11"/>
  <c r="AA31" i="11"/>
  <c r="P20" i="11"/>
  <c r="S31" i="16"/>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U32" i="17"/>
  <c r="Q32" i="16"/>
  <c r="L32" i="16"/>
  <c r="BS32" i="16"/>
  <c r="L32" i="11"/>
  <c r="AB32" i="21"/>
  <c r="P32" i="11"/>
  <c r="AS32" i="21"/>
  <c r="AR32" i="17"/>
  <c r="AA32" i="11"/>
  <c r="AB32" i="16"/>
  <c r="AM32" i="17"/>
  <c r="S32" i="21"/>
  <c r="AF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W32" i="21"/>
  <c r="AZ32" i="16"/>
  <c r="AS32" i="16"/>
  <c r="M32" i="17"/>
  <c r="Z32" i="16"/>
  <c r="V32" i="17"/>
  <c r="AN32" i="17"/>
  <c r="AU32" i="16"/>
  <c r="BC32" i="21"/>
  <c r="AA32" i="17"/>
  <c r="O32" i="17"/>
  <c r="H32" i="12"/>
  <c r="V32" i="11"/>
  <c r="X32" i="17"/>
  <c r="BD32" i="21"/>
  <c r="S32" i="16"/>
  <c r="H32" i="16"/>
  <c r="X32" i="21"/>
  <c r="Y32" i="11"/>
  <c r="AC32" i="11"/>
  <c r="AO32" i="21"/>
  <c r="AG32" i="11"/>
  <c r="AE32" i="21"/>
  <c r="N32" i="21"/>
  <c r="AD32" i="21"/>
  <c r="K32" i="21"/>
  <c r="AW32" i="17"/>
  <c r="L32" i="21"/>
  <c r="AF32" i="11"/>
  <c r="AK32" i="16"/>
  <c r="U32" i="11"/>
  <c r="AY32" i="16"/>
  <c r="BF32" i="16"/>
  <c r="AS32" i="17"/>
  <c r="X32" i="16"/>
  <c r="AY32" i="21"/>
  <c r="AL32" i="11"/>
  <c r="AL32" i="17"/>
  <c r="I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<sst xmlns="http://schemas.openxmlformats.org/spreadsheetml/2006/main" count="2682" uniqueCount="1193">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</sst>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K7rLLn3Pfu8aobrRuelEYaCWhOQ68jRip4cy9g99PFA/nkFDEoeXSReA0GI+LdzpAQZVeSffSXcLhDSeqH0wg==" saltValue="AzuW/LmVz7laK/+JiZRX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7</v>
      </c>
      <c r="F10" s="240">
        <f>IF(ISNUMBER(Datos!K10),Datos!K10," - ")</f>
        <v>7</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20.428571428571431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14.609671848013816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7</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641</v>
      </c>
      <c r="D17" s="239">
        <f>IF(ISNUMBER(IF(D_I="SI",Datos!I17,Datos!I17+Datos!AC17)),IF(D_I="SI",Datos!I17,Datos!I17+Datos!AC17)," - ")</f>
        <v>560</v>
      </c>
      <c r="E17" s="240">
        <f>IF(ISNUMBER(IF(D_I="SI",Datos!J17,Datos!J17+Datos!AD17)),IF(D_I="SI",Datos!J17,Datos!J17+Datos!AD17)," - ")</f>
        <v>749</v>
      </c>
      <c r="F17" s="240">
        <f>IF(ISNUMBER(IF(D_I="SI",Datos!K17,Datos!K17+Datos!AE17)),IF(D_I="SI",Datos!K17,Datos!K17+Datos!AE17)," - ")</f>
        <v>890</v>
      </c>
      <c r="G17" s="1390" t="str">
        <f>IF(Datos!E17&lt;&gt;"",Datos!E17,Datos!D17)</f>
        <v>04</v>
      </c>
      <c r="H17" s="241">
        <f>IF(ISNUMBER(IF(D_I="SI",Datos!L17,Datos!L17+Datos!AF17)),IF(D_I="SI",Datos!L17,Datos!L17+Datos!AF17)," - ")</f>
        <v>500</v>
      </c>
      <c r="I17" s="1400" t="str">
        <f>IF(ISNUMBER(Datos!AS17/Datos!BM17),Datos!AS17/Datos!BM17," - ")</f>
        <v xml:space="preserve"> - </v>
      </c>
      <c r="J17" s="1401">
        <f>IF(ISNUMBER(Datos!BY17/Datos!CN17),Datos!BY17/Datos!CN17," - ")</f>
        <v>0</v>
      </c>
      <c r="K17" s="244">
        <f t="shared" si="3"/>
        <v>-0.21996879875195008</v>
      </c>
      <c r="L17" s="1402">
        <f>IF(ISNUMBER(NºAsuntos!I17/NºAsuntos!G17),(NºAsuntos!I17/NºAsuntos!G17)*11," - ")</f>
        <v>6.1797752808988768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78</v>
      </c>
      <c r="F18" s="240">
        <f>IF(ISNUMBER(IF(D_I="SI",Datos!K18,Datos!K18+Datos!AE18)),IF(D_I="SI",Datos!K18,Datos!K18+Datos!AE18)," - ")</f>
        <v>84</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-0.11538461538461539</v>
      </c>
      <c r="L18" s="1402">
        <f>IF(ISNUMBER(NºAsuntos!I18/NºAsuntos!G18),(NºAsuntos!I18/NºAsuntos!G18)*11," - ")</f>
        <v>6.0238095238095246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693</v>
      </c>
      <c r="D23" s="1407">
        <f>SUBTOTAL(9,D16:D22)</f>
        <v>612</v>
      </c>
      <c r="E23" s="1408">
        <f>SUBTOTAL(9,E16:E22)</f>
        <v>827</v>
      </c>
      <c r="F23" s="1408">
        <f>SUBTOTAL(9,F16:F22)</f>
        <v>974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706</v>
      </c>
      <c r="D31" s="1435">
        <f>SUBTOTAL(9,D9:D30)</f>
        <v>625</v>
      </c>
      <c r="E31" s="1436">
        <f>SUBTOTAL(9,E9:E30)</f>
        <v>834</v>
      </c>
      <c r="F31" s="1436">
        <f>SUBTOTAL(9,F9:F30)</f>
        <v>981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X/ZYLR3ZJ3IndwU6PvOKqOpaiCOxILNNZ3hN5HU67kzbu9mKYoWt6cZDDk1EZHRpuYjBN9TiS5V0pFcWci69A==" saltValue="YXPWqma9kxJt2lmjO/Hh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hMi02OI4gNln5D3SRk3EW4FLh8Mn79jcNCWJ9BEulnLO6CsQNkLjeWOjZZC6qHHwIM0UBxVj/2RWfxkSzudpg==" saltValue="fYWKGvRB7Tw0cOLyH+qA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7</v>
      </c>
      <c r="K10" s="194">
        <v>7</v>
      </c>
      <c r="L10" s="194">
        <v>13</v>
      </c>
      <c r="M10" s="194">
        <v>1</v>
      </c>
      <c r="N10" s="194">
        <v>2</v>
      </c>
      <c r="O10" s="194">
        <v>7</v>
      </c>
      <c r="P10" s="194">
        <v>1</v>
      </c>
      <c r="Q10" s="194">
        <v>3</v>
      </c>
      <c r="R10" s="194">
        <v>6</v>
      </c>
      <c r="S10" s="194">
        <v>19</v>
      </c>
      <c r="T10" s="194">
        <v>18</v>
      </c>
      <c r="U10" s="194">
        <v>17</v>
      </c>
      <c r="V10" s="194">
        <v>20</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18</v>
      </c>
      <c r="BA10" s="139">
        <f t="shared" si="0"/>
        <v>17</v>
      </c>
      <c r="BB10" s="139">
        <f t="shared" si="0"/>
        <v>20</v>
      </c>
      <c r="BC10" s="135">
        <f t="shared" si="0"/>
        <v>5</v>
      </c>
      <c r="BD10" s="136">
        <f>IF(ISNUMBER(BA10/AZ10),BA10/AZ10," - ")</f>
        <v>0.94444444444444442</v>
      </c>
      <c r="BE10" s="137">
        <f>IF(ISNUMBER(BB10/BA10),BB10/BA10, " - ")</f>
        <v>1.1764705882352942</v>
      </c>
      <c r="BF10" s="137">
        <f>IF(ISNUMBER(BC10/BA10),BC10/BA10, " - ")</f>
        <v>0.29411764705882354</v>
      </c>
      <c r="BG10" s="209">
        <f>IF(ISNUMBER((AY10+AZ10)/BA10),(AY10+AZ10)/BA10," - ")</f>
        <v>2.1764705882352939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711</v>
      </c>
      <c r="J12" s="196">
        <v>537</v>
      </c>
      <c r="K12" s="196">
        <v>516</v>
      </c>
      <c r="L12" s="196">
        <v>732</v>
      </c>
      <c r="M12" s="196">
        <v>125</v>
      </c>
      <c r="N12" s="196">
        <v>216</v>
      </c>
      <c r="O12" s="194">
        <v>458</v>
      </c>
      <c r="P12" s="196">
        <v>151</v>
      </c>
      <c r="Q12" s="196">
        <v>263</v>
      </c>
      <c r="R12" s="196">
        <v>1238</v>
      </c>
      <c r="S12" s="196">
        <v>985</v>
      </c>
      <c r="T12" s="196">
        <v>442</v>
      </c>
      <c r="U12" s="196">
        <v>626</v>
      </c>
      <c r="V12" s="196">
        <v>801</v>
      </c>
      <c r="W12" s="196">
        <v>155</v>
      </c>
      <c r="X12" s="202">
        <v>296</v>
      </c>
      <c r="Y12" s="204">
        <v>28</v>
      </c>
      <c r="Z12" s="194">
        <v>73</v>
      </c>
      <c r="AA12" s="194">
        <v>63</v>
      </c>
      <c r="AB12" s="194">
        <v>37</v>
      </c>
      <c r="AC12" s="196">
        <v>0</v>
      </c>
      <c r="AD12" s="196">
        <v>0</v>
      </c>
      <c r="AE12" s="196">
        <v>0</v>
      </c>
      <c r="AF12" s="202">
        <v>0</v>
      </c>
      <c r="AG12" s="215">
        <v>35</v>
      </c>
      <c r="AH12" s="196">
        <v>81</v>
      </c>
      <c r="AI12" s="196">
        <v>77</v>
      </c>
      <c r="AJ12" s="216">
        <v>39</v>
      </c>
      <c r="AK12" s="195">
        <v>0</v>
      </c>
      <c r="AL12" s="196">
        <v>0</v>
      </c>
      <c r="AM12" s="196">
        <v>0</v>
      </c>
      <c r="AN12" s="202">
        <v>0</v>
      </c>
      <c r="AO12" s="283">
        <v>3</v>
      </c>
      <c r="AP12" s="168">
        <v>3</v>
      </c>
      <c r="AQ12" s="168">
        <v>3</v>
      </c>
      <c r="AR12" s="167">
        <v>3</v>
      </c>
      <c r="AS12" s="381" t="s">
        <v>1075</v>
      </c>
      <c r="AT12" s="216"/>
      <c r="AU12" s="215"/>
      <c r="AV12" s="216"/>
      <c r="AW12" s="215"/>
      <c r="AX12" s="216"/>
      <c r="AY12" s="136">
        <f t="shared" si="1"/>
        <v>1020</v>
      </c>
      <c r="AZ12" s="137">
        <f t="shared" si="1"/>
        <v>523</v>
      </c>
      <c r="BA12" s="137">
        <f t="shared" si="1"/>
        <v>703</v>
      </c>
      <c r="BB12" s="137">
        <f t="shared" si="1"/>
        <v>840</v>
      </c>
      <c r="BC12" s="135">
        <f>IF(ISNUMBER(X12),X12," - ")</f>
        <v>296</v>
      </c>
      <c r="BD12" s="136">
        <f t="shared" si="2"/>
        <v>1.344168260038241</v>
      </c>
      <c r="BE12" s="137">
        <f t="shared" si="3"/>
        <v>1.1948790896159318</v>
      </c>
      <c r="BF12" s="137">
        <f t="shared" si="4"/>
        <v>0.42105263157894735</v>
      </c>
      <c r="BG12" s="209">
        <f t="shared" si="5"/>
        <v>2.1948790896159318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724</v>
      </c>
      <c r="J14" s="197">
        <f t="shared" si="7"/>
        <v>544</v>
      </c>
      <c r="K14" s="197">
        <f t="shared" si="7"/>
        <v>523</v>
      </c>
      <c r="L14" s="197">
        <f t="shared" si="7"/>
        <v>745</v>
      </c>
      <c r="M14" s="197">
        <f t="shared" si="7"/>
        <v>126</v>
      </c>
      <c r="N14" s="197">
        <f t="shared" si="7"/>
        <v>218</v>
      </c>
      <c r="O14" s="197">
        <f t="shared" si="7"/>
        <v>465</v>
      </c>
      <c r="P14" s="197">
        <f t="shared" si="7"/>
        <v>152</v>
      </c>
      <c r="Q14" s="197">
        <f t="shared" si="7"/>
        <v>266</v>
      </c>
      <c r="R14" s="197">
        <f t="shared" si="7"/>
        <v>1244</v>
      </c>
      <c r="S14" s="197">
        <f t="shared" si="7"/>
        <v>1004</v>
      </c>
      <c r="T14" s="197">
        <f t="shared" si="7"/>
        <v>460</v>
      </c>
      <c r="U14" s="197">
        <f t="shared" si="7"/>
        <v>643</v>
      </c>
      <c r="V14" s="197">
        <f t="shared" si="7"/>
        <v>821</v>
      </c>
      <c r="W14" s="197">
        <f t="shared" si="7"/>
        <v>160</v>
      </c>
      <c r="X14" s="197">
        <f t="shared" si="7"/>
        <v>298</v>
      </c>
      <c r="Y14" s="197">
        <f t="shared" si="7"/>
        <v>28</v>
      </c>
      <c r="Z14" s="197">
        <f t="shared" si="7"/>
        <v>73</v>
      </c>
      <c r="AA14" s="197">
        <f t="shared" si="7"/>
        <v>63</v>
      </c>
      <c r="AB14" s="197">
        <f t="shared" si="7"/>
        <v>37</v>
      </c>
      <c r="AC14" s="197">
        <f t="shared" si="7"/>
        <v>0</v>
      </c>
      <c r="AD14" s="197">
        <f t="shared" si="7"/>
        <v>0</v>
      </c>
      <c r="AE14" s="197">
        <f t="shared" si="7"/>
        <v>0</v>
      </c>
      <c r="AF14" s="197">
        <f>SUBTOTAL(9,AF9:AF13)</f>
        <v>0</v>
      </c>
      <c r="AG14" s="197">
        <f t="shared" ref="AG14:AT14" si="8">SUBTOTAL(9,AG8:AG13)</f>
        <v>35</v>
      </c>
      <c r="AH14" s="197">
        <f t="shared" si="8"/>
        <v>81</v>
      </c>
      <c r="AI14" s="197">
        <f t="shared" si="8"/>
        <v>77</v>
      </c>
      <c r="AJ14" s="197">
        <f t="shared" si="8"/>
        <v>39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1039</v>
      </c>
      <c r="AZ14" s="197">
        <f>SUBTOTAL(9,AZ8:AZ13)</f>
        <v>541</v>
      </c>
      <c r="BA14" s="197">
        <f>SUBTOTAL(9,BA8:BA13)</f>
        <v>720</v>
      </c>
      <c r="BB14" s="197">
        <f>SUBTOTAL(9,BB8:BB13)</f>
        <v>860</v>
      </c>
      <c r="BC14" s="197">
        <f>SUBTOTAL(9,BC8:BC13)</f>
        <v>301</v>
      </c>
      <c r="BD14" s="219">
        <f>IF(ISNUMBER(BA14/AZ14),BA14/AZ14," - ")</f>
        <v>1.3308687615526802</v>
      </c>
      <c r="BE14" s="220">
        <f>IF(ISNUMBER(BB14/BA14),BB14/BA14, " - ")</f>
        <v>1.1944444444444444</v>
      </c>
      <c r="BF14" s="220">
        <f>IF(ISNUMBER(BC14/BA14),BC14/BA14, " - ")</f>
        <v>0.41805555555555557</v>
      </c>
      <c r="BG14" s="221">
        <f>IF(ISNUMBER((AY14+AZ14)/BA14),(AY14+AZ14)/BA14," - ")</f>
        <v>2.1944444444444446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560</v>
      </c>
      <c r="J17" s="196">
        <v>749</v>
      </c>
      <c r="K17" s="196">
        <v>890</v>
      </c>
      <c r="L17" s="196">
        <v>500</v>
      </c>
      <c r="M17" s="196">
        <v>111</v>
      </c>
      <c r="N17" s="196">
        <v>574</v>
      </c>
      <c r="O17" s="194">
        <v>19</v>
      </c>
      <c r="P17" s="196">
        <v>27</v>
      </c>
      <c r="Q17" s="196">
        <v>30</v>
      </c>
      <c r="R17" s="196">
        <v>77</v>
      </c>
      <c r="S17" s="196">
        <v>564</v>
      </c>
      <c r="T17" s="196">
        <v>643</v>
      </c>
      <c r="U17" s="196">
        <v>669</v>
      </c>
      <c r="V17" s="196">
        <v>549</v>
      </c>
      <c r="W17" s="196">
        <v>74</v>
      </c>
      <c r="X17" s="202">
        <v>443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564</v>
      </c>
      <c r="AZ17" s="137">
        <f t="shared" si="10"/>
        <v>643</v>
      </c>
      <c r="BA17" s="137">
        <f t="shared" si="10"/>
        <v>669</v>
      </c>
      <c r="BB17" s="137">
        <f t="shared" si="10"/>
        <v>549</v>
      </c>
      <c r="BC17" s="135">
        <f>IF(ISNUMBER(W17),W17," - ")</f>
        <v>74</v>
      </c>
      <c r="BD17" s="136">
        <f t="shared" ref="BD17:BD22" si="12">IF(ISNUMBER(BA17/AZ17),BA17/AZ17," - ")</f>
        <v>1.0404354587869362</v>
      </c>
      <c r="BE17" s="137">
        <f t="shared" ref="BE17:BE22" si="13">IF(ISNUMBER(BB17/BA17),BB17/BA17, " - ")</f>
        <v>0.820627802690583</v>
      </c>
      <c r="BF17" s="137">
        <f t="shared" ref="BF17:BF22" si="14">IF(ISNUMBER(BC17/BA17),BC17/BA17, " - ")</f>
        <v>0.11061285500747384</v>
      </c>
      <c r="BG17" s="209">
        <f t="shared" si="11"/>
        <v>1.804185351270553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78</v>
      </c>
      <c r="K18" s="196">
        <v>84</v>
      </c>
      <c r="L18" s="196">
        <v>46</v>
      </c>
      <c r="M18" s="196">
        <v>13</v>
      </c>
      <c r="N18" s="196">
        <v>56</v>
      </c>
      <c r="O18" s="196">
        <v>1</v>
      </c>
      <c r="P18" s="196">
        <v>1</v>
      </c>
      <c r="Q18" s="196">
        <v>1</v>
      </c>
      <c r="R18" s="196">
        <v>0</v>
      </c>
      <c r="S18" s="196">
        <v>54</v>
      </c>
      <c r="T18" s="196">
        <v>63</v>
      </c>
      <c r="U18" s="196">
        <v>73</v>
      </c>
      <c r="V18" s="196">
        <v>44</v>
      </c>
      <c r="W18" s="196">
        <v>12</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54</v>
      </c>
      <c r="AZ18" s="139">
        <f t="shared" si="15"/>
        <v>63</v>
      </c>
      <c r="BA18" s="139">
        <f t="shared" si="15"/>
        <v>73</v>
      </c>
      <c r="BB18" s="139">
        <f t="shared" si="15"/>
        <v>44</v>
      </c>
      <c r="BC18" s="135">
        <f>IF(ISNUMBER(W18),W18," - ")</f>
        <v>12</v>
      </c>
      <c r="BD18" s="136">
        <f>IF(ISNUMBER(BA18/AZ18),BA18/AZ18," - ")</f>
        <v>1.1587301587301588</v>
      </c>
      <c r="BE18" s="137">
        <f>IF(ISNUMBER(BB18/BA18),BB18/BA18, " - ")</f>
        <v>0.60273972602739723</v>
      </c>
      <c r="BF18" s="137">
        <f>IF(ISNUMBER(BC18/BA18),BC18/BA18, " - ")</f>
        <v>0.16438356164383561</v>
      </c>
      <c r="BG18" s="209">
        <f>IF(ISNUMBER((AY18+AZ18)/BA18),(AY18+AZ18)/BA18," - ")</f>
        <v>1.6027397260273972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612</v>
      </c>
      <c r="J23" s="197">
        <f t="shared" si="21"/>
        <v>827</v>
      </c>
      <c r="K23" s="197">
        <f t="shared" si="21"/>
        <v>974</v>
      </c>
      <c r="L23" s="197">
        <f t="shared" si="21"/>
        <v>546</v>
      </c>
      <c r="M23" s="197">
        <f t="shared" si="21"/>
        <v>124</v>
      </c>
      <c r="N23" s="197">
        <f t="shared" si="21"/>
        <v>630</v>
      </c>
      <c r="O23" s="197">
        <f t="shared" si="21"/>
        <v>20</v>
      </c>
      <c r="P23" s="197">
        <f t="shared" si="21"/>
        <v>28</v>
      </c>
      <c r="Q23" s="197">
        <f t="shared" si="21"/>
        <v>31</v>
      </c>
      <c r="R23" s="197">
        <f t="shared" si="21"/>
        <v>77</v>
      </c>
      <c r="S23" s="197">
        <f t="shared" si="21"/>
        <v>618</v>
      </c>
      <c r="T23" s="197">
        <f t="shared" si="21"/>
        <v>706</v>
      </c>
      <c r="U23" s="197">
        <f t="shared" si="21"/>
        <v>742</v>
      </c>
      <c r="V23" s="197">
        <f t="shared" si="21"/>
        <v>593</v>
      </c>
      <c r="W23" s="197">
        <f t="shared" si="21"/>
        <v>86</v>
      </c>
      <c r="X23" s="197">
        <f t="shared" si="21"/>
        <v>485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618</v>
      </c>
      <c r="AZ23" s="197">
        <f>SUBTOTAL(9,AZ15:AZ22)</f>
        <v>706</v>
      </c>
      <c r="BA23" s="197">
        <f>SUBTOTAL(9,BA15:BA22)</f>
        <v>742</v>
      </c>
      <c r="BB23" s="197">
        <f>SUBTOTAL(9,BB15:BB22)</f>
        <v>593</v>
      </c>
      <c r="BC23" s="197">
        <f>SUBTOTAL(9,BC15:BC22)</f>
        <v>86</v>
      </c>
      <c r="BD23" s="219">
        <f>IF(ISNUMBER(BA23/AZ23),BA23/AZ23," - ")</f>
        <v>1.0509915014164306</v>
      </c>
      <c r="BE23" s="220">
        <f>IF(ISNUMBER(BB23/BA23),BB23/BA23, " - ")</f>
        <v>0.79919137466307277</v>
      </c>
      <c r="BF23" s="220">
        <f>IF(ISNUMBER(BC23/BA23),BC23/BA23, " - ")</f>
        <v>0.11590296495956873</v>
      </c>
      <c r="BG23" s="221">
        <f>IF(ISNUMBER((AY23+AZ23)/BA23),(AY23+AZ23)/BA23," - ")</f>
        <v>1.784366576819407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1336</v>
      </c>
      <c r="J31" s="144">
        <f t="shared" si="36"/>
        <v>1371</v>
      </c>
      <c r="K31" s="144">
        <f t="shared" si="36"/>
        <v>1497</v>
      </c>
      <c r="L31" s="144">
        <f t="shared" si="36"/>
        <v>1291</v>
      </c>
      <c r="M31" s="144">
        <f t="shared" si="36"/>
        <v>250</v>
      </c>
      <c r="N31" s="144">
        <f t="shared" si="36"/>
        <v>848</v>
      </c>
      <c r="O31" s="144">
        <f t="shared" si="36"/>
        <v>485</v>
      </c>
      <c r="P31" s="144">
        <f t="shared" si="36"/>
        <v>180</v>
      </c>
      <c r="Q31" s="144">
        <f t="shared" si="36"/>
        <v>297</v>
      </c>
      <c r="R31" s="144">
        <f t="shared" si="36"/>
        <v>1321</v>
      </c>
      <c r="S31" s="144">
        <f t="shared" si="36"/>
        <v>1622</v>
      </c>
      <c r="T31" s="144">
        <f t="shared" si="36"/>
        <v>1166</v>
      </c>
      <c r="U31" s="144">
        <f t="shared" si="36"/>
        <v>1385</v>
      </c>
      <c r="V31" s="144">
        <f t="shared" si="36"/>
        <v>1414</v>
      </c>
      <c r="W31" s="144">
        <f t="shared" si="36"/>
        <v>246</v>
      </c>
      <c r="X31" s="144">
        <f t="shared" si="36"/>
        <v>783</v>
      </c>
      <c r="Y31" s="144">
        <f t="shared" si="36"/>
        <v>28</v>
      </c>
      <c r="Z31" s="144">
        <f t="shared" si="36"/>
        <v>73</v>
      </c>
      <c r="AA31" s="144">
        <f t="shared" si="36"/>
        <v>63</v>
      </c>
      <c r="AB31" s="144">
        <f t="shared" si="36"/>
        <v>37</v>
      </c>
      <c r="AC31" s="144">
        <f t="shared" si="36"/>
        <v>0</v>
      </c>
      <c r="AD31" s="144">
        <f t="shared" si="36"/>
        <v>0</v>
      </c>
      <c r="AE31" s="144">
        <f t="shared" si="36"/>
        <v>0</v>
      </c>
      <c r="AF31" s="144">
        <f t="shared" si="36"/>
        <v>0</v>
      </c>
      <c r="AG31" s="144">
        <f t="shared" si="36"/>
        <v>35</v>
      </c>
      <c r="AH31" s="144">
        <f t="shared" si="36"/>
        <v>81</v>
      </c>
      <c r="AI31" s="144">
        <f t="shared" si="36"/>
        <v>77</v>
      </c>
      <c r="AJ31" s="144">
        <f t="shared" si="36"/>
        <v>39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1657</v>
      </c>
      <c r="AZ31" s="144">
        <f>SUBTOTAL(9,AZ9:AZ30)</f>
        <v>1247</v>
      </c>
      <c r="BA31" s="144">
        <f>SUBTOTAL(9,BA9:BA30)</f>
        <v>1462</v>
      </c>
      <c r="BB31" s="144">
        <f>SUBTOTAL(9,BB9:BB30)</f>
        <v>1453</v>
      </c>
      <c r="BC31" s="145">
        <f>SUBTOTAL(9,BC9:BC30)</f>
        <v>387</v>
      </c>
      <c r="BD31" s="227">
        <f>IF(ISNUMBER(BA31/AZ31),BA31/AZ31," - ")</f>
        <v>1.1724137931034482</v>
      </c>
      <c r="BE31" s="224">
        <f>IF(ISNUMBER(BB31/BA31),BB31/BA31, " - ")</f>
        <v>0.99384404924760605</v>
      </c>
      <c r="BF31" s="224">
        <f>IF(ISNUMBER(BC31/BA31),BC31/BA31, " - ")</f>
        <v>0.26470588235294118</v>
      </c>
      <c r="BG31" s="145">
        <f>IF(ISNUMBER((AY31+AZ31)/BA31),(AY31+AZ31)/BA31," - ")</f>
        <v>1.9863201094391245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mj1dlWnKH6POYedEFkJQ14TUQF2Bxvx0q5GgiCsEZU5IWExWuXK4cqCrm0WSdHzM9UgI9TP2fo0iNhatuPzPA==" saltValue="vj5FB3PuBzCE/61MUkBi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JLjO0OPzN5weF3Vl9DkTPW/cxx4dlra7NYTvnciuatSbaID/ezD6MkGitBmekU0G5LwBbZa8i8cJzYDUoEBQ==" saltValue="ARac/P9UwzxQDGOgTu1f0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UBEDA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3</v>
      </c>
      <c r="AD10" s="549"/>
      <c r="AE10" s="563"/>
      <c r="AF10" s="551">
        <f>IF(ISNUMBER(Datos!L10),Datos!L10,"-")</f>
        <v>13</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5.5714285714285721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151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37</v>
      </c>
      <c r="AI12" s="549" t="str">
        <f>IF(ISNUMBER(Datos!CD12),Datos!CD12,"-")</f>
        <v>-</v>
      </c>
      <c r="AJ12" s="549" t="str">
        <f>IF(ISNUMBER(Datos!EN12),Datos!EN12," - ")</f>
        <v xml:space="preserve"> - </v>
      </c>
      <c r="AK12" s="549"/>
      <c r="AL12" s="550"/>
      <c r="AM12" s="766">
        <f>IF(ISNUMBER(Datos!R12),Datos!R12," - ")</f>
        <v>1238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125</v>
      </c>
      <c r="BD12" s="693">
        <f>IF(ISNUMBER(Datos!N12),Datos!N12," - ")</f>
        <v>216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0.94918032786885242</v>
      </c>
      <c r="BH12" s="764">
        <f>IF(ISNUMBER(((IF(J_V="SI",Datos!L12/Datos!K12,(Datos!L12+Datos!AB12)/(Datos!K12+Datos!AA12)))*11)/factor_trimestre),((IF(J_V="SI",Datos!L12/Datos!K12,(Datos!L12+Datos!AB12)/(Datos!K12+Datos!AA12)))*11)/factor_trimestre," - ")</f>
        <v>3.9844559585492227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-8.2962962962962961E-2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152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266</v>
      </c>
      <c r="AD14" s="1198">
        <f t="shared" si="2"/>
        <v>0</v>
      </c>
      <c r="AE14" s="1198">
        <f t="shared" si="2"/>
        <v>0</v>
      </c>
      <c r="AF14" s="1198">
        <f t="shared" si="2"/>
        <v>13</v>
      </c>
      <c r="AG14" s="1198">
        <f t="shared" si="2"/>
        <v>0</v>
      </c>
      <c r="AH14" s="1198">
        <f t="shared" si="2"/>
        <v>37</v>
      </c>
      <c r="AI14" s="1198">
        <f t="shared" si="2"/>
        <v>0</v>
      </c>
      <c r="AJ14" s="1198">
        <f t="shared" si="2"/>
        <v>0</v>
      </c>
      <c r="AK14" s="1198">
        <f t="shared" si="2"/>
        <v>0</v>
      </c>
      <c r="AL14" s="1198">
        <f t="shared" si="2"/>
        <v>0</v>
      </c>
      <c r="AM14" s="1198">
        <f t="shared" si="2"/>
        <v>1244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126</v>
      </c>
      <c r="BD14" s="1198">
        <f t="shared" si="2"/>
        <v>218</v>
      </c>
      <c r="BE14" s="1198">
        <f t="shared" si="2"/>
        <v>0</v>
      </c>
      <c r="BF14" s="1198">
        <f t="shared" si="2"/>
        <v>0</v>
      </c>
      <c r="BG14" s="1198">
        <f>IF(ISNUMBER(Datos!K14/Datos!J14),Datos!K14/Datos!J14," - ")</f>
        <v>0.96139705882352944</v>
      </c>
      <c r="BH14" s="1202">
        <f>IF(ISNUMBER(((Datos!L14/Datos!K14)*11)/factor_trimestre),((Datos!L14/Datos!K14)*11)/factor_trimestre," - ")</f>
        <v>4.2734225621414916</v>
      </c>
      <c r="BI14" s="1198">
        <f>IF(ISNUMBER('Resol  Asuntos'!D14/NºAsuntos!G14),'Resol  Asuntos'!D14/NºAsuntos!G14," - ")</f>
        <v>0.21501706484641639</v>
      </c>
      <c r="BJ14" s="1198" t="str">
        <f>IF(ISNUMBER(Datos!CI14/Datos!CJ14),Datos!CI14/Datos!CJ14," - ")</f>
        <v xml:space="preserve"> - </v>
      </c>
      <c r="BK14" s="1198">
        <f>SUBTOTAL(9,BK8:BK13)</f>
        <v>0</v>
      </c>
      <c r="BL14" s="1198">
        <f>IF(ISNUMBER((I14-AB14+L14)/(F14)),(I14-AB14+L14)/(F14)," - ")</f>
        <v>-0.53846153846153844</v>
      </c>
      <c r="BM14" s="1203">
        <f>SUBTOTAL(9,BM9:BM13)</f>
        <v>-0.33296296296296296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641</v>
      </c>
      <c r="G17" s="743">
        <f>IF(ISNUMBER(IF(D_I="SI",Datos!I17,Datos!I17+Datos!AC17)),IF(D_I="SI",Datos!I17,Datos!I17+Datos!AC17)," - ")</f>
        <v>560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890</v>
      </c>
      <c r="AC17" s="240">
        <f>IF(ISNUMBER(Datos!Q17),Datos!Q17," - ")</f>
        <v>30</v>
      </c>
      <c r="AD17" s="374"/>
      <c r="AE17" s="562"/>
      <c r="AF17" s="741">
        <f>IF(ISNUMBER(IF(D_I="SI",Datos!L17,Datos!L17+Datos!AF17)),IF(D_I="SI",Datos!L17,Datos!L17+Datos!AF17)," - ")</f>
        <v>500</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111</v>
      </c>
      <c r="BD17" s="243">
        <f>IF(ISNUMBER(Datos!N17),Datos!N17," - ")</f>
        <v>574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1.1882510013351135</v>
      </c>
      <c r="BH17" s="764">
        <f>IF(ISNUMBER(((IF(D_I="SI",Datos!L17/Datos!K17,(Datos!L17+Datos!AF17)/(Datos!K17+Datos!AE17)))*11)/factor_trimestre),((IF(D_I="SI",Datos!L17/Datos!K17,(Datos!L17+Datos!AF17)/(Datos!K17+Datos!AE17)))*11)/factor_trimestre," - ")</f>
        <v>1.6853932584269664</v>
      </c>
      <c r="BI17" s="266">
        <f>IF(ISNUMBER('Resol  Asuntos'!D17/NºAsuntos!G17),'Resol  Asuntos'!D17/NºAsuntos!G17," - ")</f>
        <v>0.12471910112359551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84</v>
      </c>
      <c r="AC18" s="547">
        <f>IF(ISNUMBER(Datos!Q18),Datos!Q18," - ")</f>
        <v>1</v>
      </c>
      <c r="AD18" s="549"/>
      <c r="AE18" s="562"/>
      <c r="AF18" s="551">
        <f>IF(ISNUMBER(Datos!L18),Datos!L18,"-")</f>
        <v>46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1.0769230769230769</v>
      </c>
      <c r="BH18" s="764">
        <f>IF(ISNUMBER(((IF(D_I="SI",Datos!L18/Datos!K18,(Datos!L18+Datos!AF18)/(Datos!K18+Datos!AE18)))*11)/factor_trimestre),((IF(D_I="SI",Datos!L18/Datos!K18,(Datos!L18+Datos!AF18)/(Datos!K18+Datos!AE18)))*11)/factor_trimestre," - ")</f>
        <v>1.6428571428571432</v>
      </c>
      <c r="BI18" s="763">
        <f>IF(ISNUMBER('Resol  Asuntos'!D18/NºAsuntos!G18),'Resol  Asuntos'!D18/NºAsuntos!G18," - ")</f>
        <v>0.15476190476190477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641</v>
      </c>
      <c r="G23" s="1197">
        <f>SUBTOTAL(9,G16:G22)</f>
        <v>612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974</v>
      </c>
      <c r="AC23" s="1198">
        <f t="shared" si="5"/>
        <v>31</v>
      </c>
      <c r="AD23" s="1198">
        <f t="shared" si="5"/>
        <v>0</v>
      </c>
      <c r="AE23" s="1198">
        <f t="shared" si="5"/>
        <v>0</v>
      </c>
      <c r="AF23" s="1198">
        <f t="shared" si="5"/>
        <v>546</v>
      </c>
      <c r="AG23" s="1198">
        <f t="shared" si="5"/>
        <v>0</v>
      </c>
      <c r="AH23" s="1198">
        <f t="shared" si="5"/>
        <v>0</v>
      </c>
      <c r="AI23" s="1198">
        <f t="shared" si="5"/>
        <v>0</v>
      </c>
      <c r="AJ23" s="1198">
        <f t="shared" si="5"/>
        <v>0</v>
      </c>
      <c r="AK23" s="1198">
        <f t="shared" si="5"/>
        <v>0</v>
      </c>
      <c r="AL23" s="1198">
        <f t="shared" si="5"/>
        <v>0</v>
      </c>
      <c r="AM23" s="1198">
        <f t="shared" si="5"/>
        <v>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124</v>
      </c>
      <c r="BD23" s="1198">
        <f t="shared" si="5"/>
        <v>630</v>
      </c>
      <c r="BE23" s="1198">
        <f t="shared" si="5"/>
        <v>0</v>
      </c>
      <c r="BF23" s="1198">
        <f t="shared" si="5"/>
        <v>0</v>
      </c>
      <c r="BG23" s="1198">
        <f>IF(ISNUMBER(Datos!K23/Datos!J23),Datos!K23/Datos!J23," - ")</f>
        <v>1.1777509068923822</v>
      </c>
      <c r="BH23" s="1202">
        <f>IF(ISNUMBER(((Datos!L23/Datos!K23)*11)/factor_trimestre),((Datos!L23/Datos!K23)*11)/factor_trimestre," - ")</f>
        <v>1.6817248459958933</v>
      </c>
      <c r="BI23" s="1198">
        <f>SUBTOTAL(9,BI16:BI22)</f>
        <v>0.27948100588550029</v>
      </c>
      <c r="BJ23" s="1198">
        <f>SUBTOTAL(9,BJ16:BJ22)</f>
        <v>0</v>
      </c>
      <c r="BK23" s="1198">
        <f>SUBTOTAL(9,BK16:BK22)</f>
        <v>0</v>
      </c>
      <c r="BL23" s="1198">
        <f>IF(ISNUMBER((I23-AB23+L23)/(F23)),(I23-AB23+L23)/(F23)," - ")</f>
        <v>-1.5195007800312013</v>
      </c>
      <c r="BM23" s="1205">
        <f>IF(ISNUMBER((Datos!P23-Datos!Q23)/(Datos!R23-Datos!P23+Datos!Q23)),(Datos!P23-Datos!Q23)/(Datos!R23-Datos!P23+Datos!Q23)," - ")</f>
        <v>-3.7499999999999999E-2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654</v>
      </c>
      <c r="G31" s="1117">
        <f t="shared" si="18"/>
        <v>625</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180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981</v>
      </c>
      <c r="AC31" s="1118">
        <f t="shared" si="19"/>
        <v>297</v>
      </c>
      <c r="AD31" s="1118">
        <f t="shared" si="19"/>
        <v>0</v>
      </c>
      <c r="AE31" s="1118">
        <f t="shared" si="19"/>
        <v>0</v>
      </c>
      <c r="AF31" s="1125">
        <f t="shared" si="19"/>
        <v>559</v>
      </c>
      <c r="AG31" s="1125">
        <f t="shared" si="19"/>
        <v>0</v>
      </c>
      <c r="AH31" s="1125">
        <f t="shared" si="19"/>
        <v>37</v>
      </c>
      <c r="AI31" s="1125">
        <f t="shared" si="19"/>
        <v>0</v>
      </c>
      <c r="AJ31" s="1118">
        <f t="shared" si="19"/>
        <v>0</v>
      </c>
      <c r="AK31" s="1125">
        <f t="shared" si="19"/>
        <v>0</v>
      </c>
      <c r="AL31" s="1125">
        <f t="shared" si="19"/>
        <v>0</v>
      </c>
      <c r="AM31" s="1125">
        <f t="shared" si="19"/>
        <v>1321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250</v>
      </c>
      <c r="BD31" s="1117">
        <f t="shared" si="19"/>
        <v>848</v>
      </c>
      <c r="BE31" s="1117">
        <f t="shared" si="19"/>
        <v>0</v>
      </c>
      <c r="BF31" s="1127">
        <f t="shared" si="19"/>
        <v>0</v>
      </c>
      <c r="BG31" s="1223">
        <f>IF(ISNUMBER(Datos!K31/Datos!J31),Datos!K31/Datos!J31," - ")</f>
        <v>1.0919037199124726</v>
      </c>
      <c r="BH31" s="1223">
        <f>IF(ISNUMBER(((Datos!L31/Datos!K31)*11)/factor_trimestre),((Datos!L31/Datos!K31)*11)/factor_trimestre," - ")</f>
        <v>2.587174348697395</v>
      </c>
      <c r="BI31" s="1103">
        <f>IF(ISNUMBER(Datos!J31/Datos!I31),Datos!J31/Datos!I31," - ")</f>
        <v>1.0261976047904191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v>
      </c>
      <c r="BM31" s="1188">
        <f>IF(ISNUMBER((Datos!P31-Datos!Q31+R31)/(Datos!R31-Datos!P31+Datos!Q31-R31)),(Datos!P31-Datos!Q31+R31)/(Datos!R31-Datos!P31+Datos!Q31-R31)," - ")</f>
        <v>-8.1363004172461756E-2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327.70596576809521</v>
      </c>
      <c r="G33" s="674">
        <f>IF(ISNUMBER(STDEV(G8:G30)),STDEV(G8:G30),"-")</f>
        <v>279.27636082254747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446.84252046469135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63.378680507384679</v>
      </c>
      <c r="BD33" s="673"/>
      <c r="BE33" s="673">
        <f>IF(ISNUMBER(STDEV(BE8:BE30)),STDEV(BE8:BE30),"-")</f>
        <v>0</v>
      </c>
      <c r="BF33" s="678">
        <f>IF(ISNUMBER(STDEV(BF8:BF30)),STDEV(BF8:BF30),"-")</f>
        <v>0</v>
      </c>
      <c r="BG33" s="1052">
        <f>IF(ISNUMBER(STDEV(BG8:BG30)),STDEV(BG8:BG30),"-")</f>
        <v>0.10601555467126178</v>
      </c>
      <c r="BH33" s="1058">
        <f>IF(ISNUMBER(STDEV(BH8:BH30)),STDEV(BH8:BH30),"-")</f>
        <v>1.6966721141416623</v>
      </c>
      <c r="BI33" s="273">
        <f>IF(ISNUMBER(STDEV(BI8:BI30)),STDEV(BI8:BI30),"-")</f>
        <v>6.8525346688074196E-2</v>
      </c>
      <c r="BJ33" s="244" t="str">
        <f>IF(ISNUMBER(BL33/BM33),BL33/BM33," - ")</f>
        <v xml:space="preserve"> - </v>
      </c>
      <c r="BK33" s="709"/>
      <c r="BL33" s="681">
        <f>IF(ISNUMBER(STDEV(BL8:BL30)),STDEV(BL8:BL30),"-")</f>
        <v>0.69369950032401606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4RGpp/OEaNSRcLrAb2xCjEgmeLeZFVnuvCyyQ5ewNmSn9Owv3vReTt78W9iYxZO2tchZNgb60lcd9+ez7TDJw==" saltValue="11AiJ52FHWwgCzHLULcY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UBEDA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3</v>
      </c>
      <c r="AA10" s="551">
        <f>IF(ISNUMBER(Datos!L10),Datos!L10,"-")</f>
        <v>13</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5.5714285714285721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263</v>
      </c>
      <c r="AA12" s="551" t="str">
        <f>IF(ISNUMBER(IF(J_V="SI",Datos!L12,Datos!L12+Datos!AB12)-IF(Monitorios="SI",Datos!CD12,0)),
                          IF(J_V="SI",Datos!L12,Datos!L12+Datos!AB12)-IF(Monitorios="SI",Datos!CD12,0),
                          " - ")</f>
        <v xml:space="preserve"> - </v>
      </c>
      <c r="AB12" s="549"/>
      <c r="AC12" s="549"/>
      <c r="AD12" s="563"/>
      <c r="AE12" s="563">
        <f>IF(ISNUMBER(Datos!R12),Datos!R12," - ")</f>
        <v>1238</v>
      </c>
      <c r="AF12" s="693" t="str">
        <f>IF(ISNUMBER(Datos!BV12),Datos!BV12," - ")</f>
        <v xml:space="preserve"> - </v>
      </c>
      <c r="AG12" s="552" t="str">
        <f>IF(ISNUMBER(Datos!DV12),Datos!DV12," - ")</f>
        <v xml:space="preserve"> - </v>
      </c>
      <c r="AH12" s="553"/>
      <c r="AI12" s="554"/>
      <c r="AJ12" s="552">
        <f>IF(ISNUMBER(Datos!M12),Datos!M12," - ")</f>
        <v>125</v>
      </c>
      <c r="AK12" s="693">
        <f>IF(ISNUMBER(Datos!N12),Datos!N12," - ")</f>
        <v>216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3.9844559585492227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-8.2962962962962961E-2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152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266</v>
      </c>
      <c r="AA14" s="1199">
        <f t="shared" si="3"/>
        <v>13</v>
      </c>
      <c r="AB14" s="1199">
        <f t="shared" si="3"/>
        <v>0</v>
      </c>
      <c r="AC14" s="1199">
        <f t="shared" si="3"/>
        <v>0</v>
      </c>
      <c r="AD14" s="1199">
        <f t="shared" si="3"/>
        <v>0</v>
      </c>
      <c r="AE14" s="1199">
        <f t="shared" si="3"/>
        <v>1244</v>
      </c>
      <c r="AF14" s="1211">
        <f t="shared" si="3"/>
        <v>0</v>
      </c>
      <c r="AG14" s="1211">
        <f t="shared" si="3"/>
        <v>0</v>
      </c>
      <c r="AH14" s="1211">
        <f t="shared" si="3"/>
        <v>0</v>
      </c>
      <c r="AI14" s="1211">
        <f t="shared" si="3"/>
        <v>0</v>
      </c>
      <c r="AJ14" s="1211">
        <f t="shared" si="3"/>
        <v>126</v>
      </c>
      <c r="AK14" s="1211">
        <f t="shared" si="3"/>
        <v>218</v>
      </c>
      <c r="AL14" s="1211">
        <f t="shared" si="3"/>
        <v>0</v>
      </c>
      <c r="AM14" s="1211">
        <f t="shared" si="3"/>
        <v>0</v>
      </c>
      <c r="AN14" s="1211">
        <f t="shared" si="3"/>
        <v>0</v>
      </c>
      <c r="AO14" s="1203">
        <f>IF(ISNUMBER(((NºAsuntos!I14/NºAsuntos!G14)*11)/factor_trimestre),((NºAsuntos!I14/NºAsuntos!G14)*11)/factor_trimestre," - ")</f>
        <v>4.0034129692832767</v>
      </c>
      <c r="AP14" s="1213" t="str">
        <f>IF(ISNUMBER(Datos!CI14/Datos!CJ14),Datos!CI14/Datos!CJ14," - ")</f>
        <v xml:space="preserve"> - </v>
      </c>
      <c r="AQ14" s="1236">
        <f t="shared" ref="AQ14:AV14" si="4">SUBTOTAL(9,AQ9:AQ13)</f>
        <v>0</v>
      </c>
      <c r="AR14" s="1236">
        <f t="shared" si="4"/>
        <v>-0.33296296296296296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641</v>
      </c>
      <c r="G17" s="552">
        <f>IF(ISNUMBER(IF(D_I="SI",Datos!I17,Datos!I17+Datos!AC17)),IF(D_I="SI",Datos!I17,Datos!I17+Datos!AC17)," - ")</f>
        <v>560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890</v>
      </c>
      <c r="Z17" s="805">
        <f>IF(ISNUMBER(Datos!Q17),Datos!Q17," - ")</f>
        <v>30</v>
      </c>
      <c r="AA17" s="551">
        <f>IF(ISNUMBER(IF(D_I="SI",Datos!L17,Datos!L17+Datos!AF17)),IF(D_I="SI",Datos!L17,Datos!L17+Datos!AF17)," - ")</f>
        <v>500</v>
      </c>
      <c r="AB17" s="549"/>
      <c r="AC17" s="549"/>
      <c r="AD17" s="563"/>
      <c r="AE17" s="563">
        <f>IF(ISNUMBER(Datos!R17),Datos!R17," - ")</f>
        <v>77</v>
      </c>
      <c r="AF17" s="693" t="str">
        <f>IF(ISNUMBER(Datos!BV17),Datos!BV17," - ")</f>
        <v xml:space="preserve"> - </v>
      </c>
      <c r="AG17" s="552"/>
      <c r="AH17" s="553"/>
      <c r="AI17" s="554"/>
      <c r="AJ17" s="552">
        <f>IF(ISNUMBER(Datos!M17),Datos!M17," - ")</f>
        <v>111</v>
      </c>
      <c r="AK17" s="693">
        <f>IF(ISNUMBER(Datos!N17),Datos!N17," - ")</f>
        <v>574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1.6853932584269664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84</v>
      </c>
      <c r="Z18" s="805">
        <f>IF(ISNUMBER(Datos!Q18),Datos!Q18," - ")</f>
        <v>1</v>
      </c>
      <c r="AA18" s="551">
        <f>IF(ISNUMBER(Datos!L18),Datos!L18,"-")</f>
        <v>46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1.6428571428571432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641</v>
      </c>
      <c r="G23" s="1197">
        <f>SUBTOTAL(9,G16:G22)</f>
        <v>612</v>
      </c>
      <c r="H23" s="1240">
        <f>SUBTOTAL(9,H16:H22)</f>
        <v>0</v>
      </c>
      <c r="I23" s="1217">
        <f>SUBTOTAL(9,I16:I22)</f>
        <v>0</v>
      </c>
      <c r="J23" s="1164">
        <f>SUBTOTAL(9,J15:J22)</f>
        <v>0</v>
      </c>
      <c r="K23" s="1240">
        <f t="shared" ref="K23:S23" si="5">SUBTOTAL(9,K16:K22)</f>
        <v>0</v>
      </c>
      <c r="L23" s="1240">
        <f t="shared" si="5"/>
        <v>0</v>
      </c>
      <c r="M23" s="1240">
        <f t="shared" si="5"/>
        <v>0</v>
      </c>
      <c r="N23" s="1240">
        <f t="shared" si="5"/>
        <v>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974</v>
      </c>
      <c r="Z23" s="1240">
        <f t="shared" si="6"/>
        <v>31</v>
      </c>
      <c r="AA23" s="1240">
        <f t="shared" si="6"/>
        <v>546</v>
      </c>
      <c r="AB23" s="1240">
        <f t="shared" si="6"/>
        <v>0</v>
      </c>
      <c r="AC23" s="1240">
        <f t="shared" si="6"/>
        <v>0</v>
      </c>
      <c r="AD23" s="1240">
        <f t="shared" si="6"/>
        <v>0</v>
      </c>
      <c r="AE23" s="1240">
        <f t="shared" si="6"/>
        <v>77</v>
      </c>
      <c r="AF23" s="1240">
        <f t="shared" si="6"/>
        <v>0</v>
      </c>
      <c r="AG23" s="1240">
        <f t="shared" si="6"/>
        <v>0</v>
      </c>
      <c r="AH23" s="1240">
        <f t="shared" si="6"/>
        <v>0</v>
      </c>
      <c r="AI23" s="1240">
        <f t="shared" si="6"/>
        <v>0</v>
      </c>
      <c r="AJ23" s="1240">
        <f t="shared" si="6"/>
        <v>124</v>
      </c>
      <c r="AK23" s="1240">
        <f t="shared" si="6"/>
        <v>630</v>
      </c>
      <c r="AL23" s="1240">
        <f t="shared" si="6"/>
        <v>0</v>
      </c>
      <c r="AM23" s="1240">
        <f t="shared" si="6"/>
        <v>0</v>
      </c>
      <c r="AN23" s="1240">
        <f t="shared" si="6"/>
        <v>0</v>
      </c>
      <c r="AO23" s="1242">
        <f>IF(ISNUMBER(((NºAsuntos!I23/NºAsuntos!G23)*11)/factor_trimestre),((NºAsuntos!I23/NºAsuntos!G23)*11)/factor_trimestre," - ")</f>
        <v>1.6817248459958933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654</v>
      </c>
      <c r="G31" s="1117">
        <f t="shared" si="12"/>
        <v>625</v>
      </c>
      <c r="H31" s="1118">
        <f t="shared" si="12"/>
        <v>0</v>
      </c>
      <c r="I31" s="1117">
        <f t="shared" si="12"/>
        <v>0</v>
      </c>
      <c r="J31" s="1119">
        <f t="shared" si="12"/>
        <v>0</v>
      </c>
      <c r="K31" s="1117">
        <f t="shared" si="12"/>
        <v>0</v>
      </c>
      <c r="L31" s="1120">
        <f t="shared" si="12"/>
        <v>0</v>
      </c>
      <c r="M31" s="1117">
        <f t="shared" si="12"/>
        <v>0</v>
      </c>
      <c r="N31" s="1118">
        <f t="shared" si="12"/>
        <v>180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981</v>
      </c>
      <c r="Z31" s="1124">
        <f t="shared" si="13"/>
        <v>297</v>
      </c>
      <c r="AA31" s="1125">
        <f t="shared" si="13"/>
        <v>559</v>
      </c>
      <c r="AB31" s="1125">
        <f t="shared" si="13"/>
        <v>0</v>
      </c>
      <c r="AC31" s="1125">
        <f t="shared" si="13"/>
        <v>0</v>
      </c>
      <c r="AD31" s="1126">
        <f t="shared" si="13"/>
        <v>0</v>
      </c>
      <c r="AE31" s="1126">
        <f t="shared" si="13"/>
        <v>1321</v>
      </c>
      <c r="AF31" s="1127">
        <f t="shared" si="13"/>
        <v>0</v>
      </c>
      <c r="AG31" s="1128">
        <f t="shared" si="13"/>
        <v>0</v>
      </c>
      <c r="AH31" s="1129">
        <f t="shared" si="13"/>
        <v>0</v>
      </c>
      <c r="AI31" s="1127">
        <f t="shared" si="13"/>
        <v>0</v>
      </c>
      <c r="AJ31" s="1117">
        <f t="shared" si="13"/>
        <v>250</v>
      </c>
      <c r="AK31" s="1117">
        <f t="shared" si="13"/>
        <v>848</v>
      </c>
      <c r="AL31" s="1117">
        <f t="shared" si="13"/>
        <v>0</v>
      </c>
      <c r="AM31" s="1130">
        <f t="shared" si="13"/>
        <v>0</v>
      </c>
      <c r="AN31" s="1120">
        <f>IF(ISNUMBER(Datos!K31/Datos!J31),Datos!K31/Datos!J31," - ")</f>
        <v>1.0919037199124726</v>
      </c>
      <c r="AO31" s="1120">
        <f>IF(ISNUMBER(FIND("06",Criterios!A8,1)),(IF(ISNUMBER(((Datos!R31/Datos!Q31)*11)/factor_trimestre),((Datos!R31/Datos!Q31)*11)/factor_trimestre," - ")),(IF(ISNUMBER(((Datos!L31/Datos!K31)*11)/factor_trimestre),((Datos!L31/Datos!K31)*11)/factor_trimestre," - ")))</f>
        <v>2.587174348697395</v>
      </c>
      <c r="AP31" s="1131" t="str">
        <f>IF(ISNUMBER(Datos!CI31/Datos!CJ31),Datos!CI31/Datos!CJ31," - ")</f>
        <v xml:space="preserve"> - </v>
      </c>
      <c r="AQ31" s="1131">
        <f>IF(OR(ISNUMBER(FIND("01",Criterios!A8,1)),ISNUMBER(FIND("02",Criterios!A8,1)),ISNUMBER(FIND("03",Criterios!A8,1)),ISNUMBER(FIND("04",Criterios!A8,1))),(J31-Y31+K31)/(F31-K31),(I31-Y31+K31)/(F31-K31))</f>
        <v>-1.5</v>
      </c>
      <c r="AR31" s="1131">
        <f>IF(ISNUMBER((Datos!P31-Datos!Q31+O31)/(Datos!R31-Datos!P31+Datos!Q31-O31)),(Datos!P31-Datos!Q31+O31)/(Datos!R31-Datos!P31+Datos!Q31-O31)," - ")</f>
        <v>-8.1363004172461756E-2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327.70596576809521</v>
      </c>
      <c r="G33" s="674">
        <f>IF(ISNUMBER(STDEV(G8:G30)),STDEV(G8:G30),"-")</f>
        <v>279.27636082254747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63.378680507384679</v>
      </c>
      <c r="AK33" s="276"/>
      <c r="AL33" s="276">
        <f>IF(ISNUMBER(STDEV(AL8:AL30)),STDEV(AL8:AL30),"-")</f>
        <v>0</v>
      </c>
      <c r="AM33" s="278">
        <f>IF(ISNUMBER(STDEV(AM8:AM30)),STDEV(AM8:AM30),"-")</f>
        <v>0</v>
      </c>
      <c r="AN33" s="660">
        <f>IF(ISNUMBER(STDEV(AN8:AN30)),STDEV(AN8:AN30),"-")</f>
        <v>0</v>
      </c>
      <c r="AO33" s="661">
        <f>IF(ISNUMBER(STDEV(AO8:AO30)),STDEV(AO8:AO30),"-")</f>
        <v>1.6638570317526333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QUUYl6gCof1q6Ob0w4fXYErUOzbFYukO/LkXvdVezY23PGYTvmCjjsNOJeBKq5tKC46dtXkog3YpLpzhvWurw==" saltValue="mn68TDYZ/wjPI/TlzOMd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1VfLmILZcS3rjEJc9J/ZTbczxWFVO9xbsrkAEQJX3Pef/EZtgayBiFMA2krQg29i0hAqh93Ml7DroJuP3cJbA==" saltValue="SzDcy8rx/LeCCWRb5tIm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9fT7Ng2El+7k2FmHiUJQlzjAM84o0ouI8Yb9mqkPpQB3JF2hOuJ0Jjrd3Xyd2gNaAqcxJJ7JmQVklK7RbG2Cw==" saltValue="kUltdNV6zsztYBvz82i7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UBEDA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0.21501706484641639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0.15204002462372865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Hclz1vW7GsBuNj8WMuK480A11DkCmg4uo0KHrUVd5KAS2lp/YOucpP45c+KJVeTtMyaHnDXdgXOTmJLqRni9g==" saltValue="oofEJfFr98C5uacFazPc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s1eEwkbXvR7IeYn1fY7CafAqkpuNycsKNEiyBhumtmbybHem+5y3j6ZpNkGY6b5jqlCu/PRReXkxmf9ZxBWgw==" saltValue="2iVQ4l6Uq+BQrDBPuxC9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UBEDA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7</v>
      </c>
      <c r="F10" s="452">
        <f>IF(ISNUMBER(E10/B10),E10/B10," - ")</f>
        <v>7</v>
      </c>
      <c r="G10" s="451">
        <f>IF(ISNUMBER(Datos!K10),Datos!K10," - ")</f>
        <v>7</v>
      </c>
      <c r="H10" s="452">
        <f>IF(ISNUMBER(G10/B10),G10/B10," - ")</f>
        <v>7</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739</v>
      </c>
      <c r="D12" s="452">
        <f>IF(ISNUMBER(C12/Datos!BH12),C12/Datos!BH12," - ")</f>
        <v>246.33333333333334</v>
      </c>
      <c r="E12" s="451">
        <f>IF(ISNUMBER(IF(J_V="SI",Datos!J12,Datos!J12+Datos!Z12)),IF(J_V="SI",Datos!J12,Datos!J12+Datos!Z12)," - ")</f>
        <v>610</v>
      </c>
      <c r="F12" s="452">
        <f>IF(ISNUMBER(E12/B12),E12/B12," - ")</f>
        <v>203.33333333333334</v>
      </c>
      <c r="G12" s="451">
        <f>IF(ISNUMBER(IF(J_V="SI",Datos!K12,Datos!K12+Datos!AA12)),IF(J_V="SI",Datos!K12,Datos!K12+Datos!AA12)," - ")</f>
        <v>579</v>
      </c>
      <c r="H12" s="452">
        <f>IF(ISNUMBER(G12/B12),G12/B12," - ")</f>
        <v>193</v>
      </c>
      <c r="I12" s="451">
        <f>IF(ISNUMBER(IF(J_V="SI",Datos!L12,Datos!L12+Datos!AB12)),IF(J_V="SI",Datos!L12,Datos!L12+Datos!AB12)," - ")</f>
        <v>769</v>
      </c>
      <c r="J12" s="452">
        <f>IF(ISNUMBER(I12/B12),I12/B12," - ")</f>
        <v>256.33333333333331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752</v>
      </c>
      <c r="D14" s="1147" t="str">
        <f>IF(ISNUMBER(C14/Datos!BI14),C14/Datos!BI14," - ")</f>
        <v xml:space="preserve"> - </v>
      </c>
      <c r="E14" s="1146">
        <f>SUBTOTAL(9,E8:E13)</f>
        <v>617</v>
      </c>
      <c r="F14" s="1147">
        <f>IF(ISNUMBER(E14/B14),E14/B14," - ")</f>
        <v>205.66666666666666</v>
      </c>
      <c r="G14" s="1146">
        <f>SUBTOTAL(9,G8:G13)</f>
        <v>586</v>
      </c>
      <c r="H14" s="1147">
        <f>IF(ISNUMBER(G14/B14),G14/B14," - ")</f>
        <v>195.33333333333334</v>
      </c>
      <c r="I14" s="1146">
        <f>SUBTOTAL(9,I8:I13)</f>
        <v>782</v>
      </c>
      <c r="J14" s="1147">
        <f>IF(ISNUMBER(I14/B14),I14/B14," - ")</f>
        <v>260.66666666666669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560</v>
      </c>
      <c r="D17" s="452">
        <f>IF(ISNUMBER(C17/Datos!BH17),C17/Datos!BH17," - ")</f>
        <v>186.66666666666666</v>
      </c>
      <c r="E17" s="451">
        <f>IF(ISNUMBER(IF(D_I="SI",Datos!J17,Datos!J17+Datos!AD17)),IF(D_I="SI",Datos!J17,Datos!J17+Datos!AD17)," - ")</f>
        <v>749</v>
      </c>
      <c r="F17" s="452">
        <f>IF(ISNUMBER(E17/B17),E17/B17," - ")</f>
        <v>249.66666666666666</v>
      </c>
      <c r="G17" s="451">
        <f>IF(ISNUMBER(IF(D_I="SI",Datos!K17,Datos!K17+Datos!AE17)),IF(D_I="SI",Datos!K17,Datos!K17+Datos!AE17)," - ")</f>
        <v>890</v>
      </c>
      <c r="H17" s="452">
        <f>IF(ISNUMBER(G17/B17),G17/B17," - ")</f>
        <v>296.66666666666669</v>
      </c>
      <c r="I17" s="451">
        <f>IF(ISNUMBER(IF(D_I="SI",Datos!L17,Datos!L17+Datos!AF17)),IF(D_I="SI",Datos!L17,Datos!L17+Datos!AF17)," - ")</f>
        <v>500</v>
      </c>
      <c r="J17" s="452">
        <f>IF(ISNUMBER(I17/B17),I17/B17," - ")</f>
        <v>166.66666666666666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78</v>
      </c>
      <c r="F18" s="452">
        <f>IF(ISNUMBER(E18/B18),E18/B18," - ")</f>
        <v>78</v>
      </c>
      <c r="G18" s="451">
        <f>IF(ISNUMBER(IF(D_I="SI",Datos!K18,Datos!K18+Datos!AE18)),IF(D_I="SI",Datos!K18,Datos!K18+Datos!AE18)," - ")</f>
        <v>84</v>
      </c>
      <c r="H18" s="452">
        <f>IF(ISNUMBER(G18/B18),G18/B18," - ")</f>
        <v>84</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612</v>
      </c>
      <c r="D23" s="1147" t="str">
        <f>IF(ISNUMBER(C23/Datos!BI23),C23/Datos!BI23," - ")</f>
        <v xml:space="preserve"> - </v>
      </c>
      <c r="E23" s="1146">
        <f>SUBTOTAL(9,E15:E22)</f>
        <v>827</v>
      </c>
      <c r="F23" s="1147">
        <f>IF(ISNUMBER(E23/B23),E23/B23," - ")</f>
        <v>275.66666666666669</v>
      </c>
      <c r="G23" s="1146">
        <f>SUBTOTAL(9,G15:G22)</f>
        <v>974</v>
      </c>
      <c r="H23" s="1147">
        <f>IF(ISNUMBER(G23/B23),G23/B23," - ")</f>
        <v>324.66666666666669</v>
      </c>
      <c r="I23" s="1146">
        <f>SUBTOTAL(9,I15:I22)</f>
        <v>546</v>
      </c>
      <c r="J23" s="1147">
        <f>IF(ISNUMBER(I23/B23),I23/B23," - ")</f>
        <v>182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1364</v>
      </c>
      <c r="D31" s="1085" t="str">
        <f>IF(ISNUMBER(C31/Datos!BI31),C31/Datos!BI31," - ")</f>
        <v xml:space="preserve"> - </v>
      </c>
      <c r="E31" s="1084">
        <f>SUBTOTAL(9,E9:E30)</f>
        <v>1444</v>
      </c>
      <c r="F31" s="1085">
        <f>IF(ISNUMBER(E31/B31),E31/B31," - ")</f>
        <v>481.33333333333331</v>
      </c>
      <c r="G31" s="1084">
        <f>SUBTOTAL(9,G9:G30)</f>
        <v>1560</v>
      </c>
      <c r="H31" s="1085">
        <f>IF(ISNUMBER(G31/B31),G31/B31," - ")</f>
        <v>520</v>
      </c>
      <c r="I31" s="1084">
        <f>SUBTOTAL(9,I9:I30)</f>
        <v>1328</v>
      </c>
      <c r="J31" s="1085">
        <f>IF(ISNUMBER(I31/B31),I31/B31," - ")</f>
        <v>442.66666666666669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lRwYU+S7HZHMi3r6XAr8dIj15sq7OYxhYC1pLHv7HDcrMYcsQ0qfAA5hYIi8dJSz9F8LCrDJIA8Zx51Y5aUg==" saltValue="ymFlkqnYXW4G9QEc2rdG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UBEDA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5.5714285714285721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125</v>
      </c>
      <c r="AM12" s="914">
        <f>IF(ISNUMBER(Datos!N12+DatosP!N17),Datos!N12+DatosP!N17," - ")</f>
        <v>216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3.9844559585492227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-8.2962962962962961E-2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152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263</v>
      </c>
      <c r="AE14" s="1257">
        <f t="shared" si="1"/>
        <v>0</v>
      </c>
      <c r="AF14" s="1257">
        <f t="shared" si="1"/>
        <v>13</v>
      </c>
      <c r="AG14" s="1257">
        <f t="shared" si="1"/>
        <v>0</v>
      </c>
      <c r="AH14" s="1257">
        <f t="shared" si="1"/>
        <v>1238</v>
      </c>
      <c r="AI14" s="1257">
        <f t="shared" si="1"/>
        <v>0</v>
      </c>
      <c r="AJ14" s="1257">
        <f t="shared" si="1"/>
        <v>0</v>
      </c>
      <c r="AK14" s="1257">
        <f t="shared" si="1"/>
        <v>0</v>
      </c>
      <c r="AL14" s="1257">
        <f t="shared" si="1"/>
        <v>126</v>
      </c>
      <c r="AM14" s="1257">
        <f t="shared" si="1"/>
        <v>218</v>
      </c>
      <c r="AN14" s="1257">
        <f t="shared" si="1"/>
        <v>0</v>
      </c>
      <c r="AO14" s="1257">
        <f t="shared" si="1"/>
        <v>0</v>
      </c>
      <c r="AP14" s="1262">
        <f>IF(ISNUMBER(((Datos!L14/Datos!K14)*11)/factor_trimestre),((Datos!L14/Datos!K14)*11)/factor_trimestre," - ")</f>
        <v>4.2734225621414916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-0.53846153846153844</v>
      </c>
      <c r="AU14" s="1257" t="str">
        <f>IF(ISNUMBER((DatosP!#REF!-DatosP!#REF!+DatosP!#REF!)/(DatosP!#REF!+DatosP!#REF!-DatosP!#REF!-DatosP!#REF!)),(DatosP!#REF!-DatosP!#REF!+DatosP!#REF!)/(DatosP!#REF!+DatosP!#REF!-DatosP!#REF!-DatosP!#REF!)," - ")</f>
        <v xml:space="preserve"> - </v>
      </c>
      <c r="AV14" s="1263">
        <f>SUBTOTAL(9,AV9:AV13)</f>
        <v>-8.2962962962962961E-2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1.6817248459958933</v>
      </c>
      <c r="AQ23" s="1262">
        <f>IF(ISNUMBER(((Datos!M23/Datos!L23)*11)/factor_trimestre),((Datos!M23/Datos!L23)*11)/factor_trimestre," - ")</f>
        <v>0.68131868131868134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-3.7499999999999999E-2</v>
      </c>
      <c r="AW23" s="1265">
        <f>IF(ISNUMBER((Datos!Q23-Datos!R23)/(Datos!S23-Datos!Q23+Datos!R23)),(Datos!Q23-Datos!R23)/(Datos!S23-Datos!Q23+Datos!R23)," - ")</f>
        <v>-6.9277108433734941E-2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152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263</v>
      </c>
      <c r="AE31" s="1284">
        <f t="shared" si="9"/>
        <v>0</v>
      </c>
      <c r="AF31" s="1285">
        <f t="shared" si="9"/>
        <v>13</v>
      </c>
      <c r="AG31" s="1285">
        <f t="shared" si="9"/>
        <v>0</v>
      </c>
      <c r="AH31" s="1285">
        <f t="shared" si="9"/>
        <v>1238</v>
      </c>
      <c r="AI31" s="1285">
        <f t="shared" si="9"/>
        <v>0</v>
      </c>
      <c r="AJ31" s="1286">
        <f t="shared" si="9"/>
        <v>0</v>
      </c>
      <c r="AK31" s="1286">
        <f t="shared" si="9"/>
        <v>0</v>
      </c>
      <c r="AL31" s="1278">
        <f t="shared" si="9"/>
        <v>126</v>
      </c>
      <c r="AM31" s="1278">
        <f t="shared" si="9"/>
        <v>218</v>
      </c>
      <c r="AN31" s="1278">
        <f t="shared" si="9"/>
        <v>0</v>
      </c>
      <c r="AO31" s="1278">
        <f t="shared" si="9"/>
        <v>0</v>
      </c>
      <c r="AP31" s="1278">
        <f>IF(ISNUMBER(((Datos!L31/Datos!K31)*11)/factor_trimestre),((Datos!L31/Datos!K31)*11)/factor_trimestre," - ")</f>
        <v>2.587174348697395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-0.53846153846153844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-8.1363004172461756E-2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64.680754479211203</v>
      </c>
      <c r="AM33" s="1006"/>
      <c r="AN33" s="1006">
        <f>IF(ISNUMBER(STDEV(AN8:AN30)),STDEV(AN8:AN30),"-")</f>
        <v>0</v>
      </c>
      <c r="AO33" s="1012">
        <f>IF(ISNUMBER(STDEV(AO8:AO30)),STDEV(AO8:AO30),"-")</f>
        <v>0</v>
      </c>
      <c r="AP33" s="1065">
        <f>IF(ISNUMBER(STDEV(AP8:AP30)),STDEV(AP8:AP30),"-")</f>
        <v>1.6185401362649412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bALC/ERkOYStK2plNCOv5wgUCkMuRIFWu+4GrAJa8xAzmRQ7i9SbvBPEcA0TL+VY1FVx5bJdB+ThNzYxfHymg==" saltValue="cxH/reKbfM0pk1IatP1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UBEDA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xhILmeTkLiz5OsBVh0Nq7w/MXGU59HvayoCYUXtJOYKkStj1B9gDYThL197H6t2zLzrVgsHMIKel7oBuHrzUQ==" saltValue="YAsmuaF8Nlxj+j+EQGPL0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UBEDA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125</v>
      </c>
      <c r="E12" s="452">
        <f t="shared" si="0"/>
        <v>41.666666666666664</v>
      </c>
      <c r="F12" s="451">
        <f>IF(ISNUMBER(Datos!N12),Datos!N12," - ")</f>
        <v>216</v>
      </c>
      <c r="G12" s="452">
        <f t="shared" si="1"/>
        <v>72</v>
      </c>
      <c r="H12" s="451">
        <f>IF(ISNUMBER(Datos!O12),Datos!O12," - ")</f>
        <v>458</v>
      </c>
      <c r="I12" s="452">
        <f t="shared" si="2"/>
        <v>152.66666666666666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126</v>
      </c>
      <c r="E14" s="1147">
        <f t="shared" si="0"/>
        <v>31.5</v>
      </c>
      <c r="F14" s="1146">
        <f>SUBTOTAL(9,F9:F13)</f>
        <v>218</v>
      </c>
      <c r="G14" s="1147">
        <f t="shared" si="1"/>
        <v>54.5</v>
      </c>
      <c r="H14" s="1146">
        <f>SUBTOTAL(9,H9:H13)</f>
        <v>465</v>
      </c>
      <c r="I14" s="1147">
        <f>IF(ISNUMBER(H14/B14),H14/B14," - ")</f>
        <v>116.25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111</v>
      </c>
      <c r="E17" s="452">
        <f t="shared" si="3"/>
        <v>37</v>
      </c>
      <c r="F17" s="451">
        <f>IF(ISNUMBER(Datos!N17),Datos!N17," - ")</f>
        <v>574</v>
      </c>
      <c r="G17" s="452">
        <f t="shared" si="4"/>
        <v>191.33333333333334</v>
      </c>
      <c r="H17" s="451">
        <f>IF(ISNUMBER(Datos!O17),Datos!O17," - ")</f>
        <v>19</v>
      </c>
      <c r="I17" s="452">
        <f t="shared" si="5"/>
        <v>6.333333333333333</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56</v>
      </c>
      <c r="G18" s="452">
        <f>IF(ISNUMBER(F18/B18),F18/B18," - ")</f>
        <v>56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124</v>
      </c>
      <c r="E23" s="1147">
        <f t="shared" si="3"/>
        <v>31</v>
      </c>
      <c r="F23" s="1146">
        <f>SUBTOTAL(9,F16:F22)</f>
        <v>630</v>
      </c>
      <c r="G23" s="1147">
        <f t="shared" si="4"/>
        <v>157.5</v>
      </c>
      <c r="H23" s="1146">
        <f>SUBTOTAL(9,H16:H22)</f>
        <v>20</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250</v>
      </c>
      <c r="E31" s="1085">
        <f>IF(ISNUMBER(D31/B31),D31/B31," - ")</f>
        <v>83.333333333333329</v>
      </c>
      <c r="F31" s="1084">
        <f>SUBTOTAL(9,F8:F30)</f>
        <v>848</v>
      </c>
      <c r="G31" s="1085">
        <f>IF(ISNUMBER(F31/B31),F31/B31," - ")</f>
        <v>282.66666666666669</v>
      </c>
      <c r="H31" s="1084">
        <f>SUBTOTAL(9,H8:H30)</f>
        <v>485</v>
      </c>
      <c r="I31" s="1085">
        <f>IF(ISNUMBER(H31/B31),H31/B31," - ")</f>
        <v>161.66666666666666</v>
      </c>
    </row>
    <row r="34" spans="1:1">
      <c r="A34" s="439" t="str">
        <f>Criterios!A4</f>
        <v>Fecha Informe: 05 may. 2023</v>
      </c>
    </row>
    <row r="39" spans="1:1">
      <c r="A39" s="462"/>
    </row>
  </sheetData>
  <sheetProtection algorithmName="SHA-512" hashValue="JkNKWjwf2jnSXdDnYV4niHBGZcjqPLJ/4yeSrkyX6J6XRzDHUoDUgwDUhtcVuASknFpaG4RfOtbqR6tzFbSzGQ==" saltValue="rHklEL/eDoimV51WU9xt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UBEDA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151</v>
      </c>
      <c r="C12" s="489">
        <f>IF(ISNUMBER(Datos!Q12),Datos!Q12," - ")</f>
        <v>263</v>
      </c>
      <c r="D12" s="456">
        <f>IF(ISNUMBER(Datos!R12),Datos!R12," - ")</f>
        <v>1238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152</v>
      </c>
      <c r="C14" s="1150">
        <f>SUBTOTAL(9,C9:C13)</f>
        <v>266</v>
      </c>
      <c r="D14" s="1148">
        <f>SUBTOTAL(9,D9:D13)</f>
        <v>1244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30</v>
      </c>
      <c r="D17" s="456">
        <f>IF(ISNUMBER(Datos!R17),Datos!R17," - ")</f>
        <v>77</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v>
      </c>
      <c r="C23" s="1150">
        <f>SUBTOTAL(9,C16:C22)</f>
        <v>31</v>
      </c>
      <c r="D23" s="1148">
        <f>SUBTOTAL(9,D16:D22)</f>
        <v>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180</v>
      </c>
      <c r="C31" s="1089">
        <f>SUBTOTAL(9,C8:C30)</f>
        <v>297</v>
      </c>
      <c r="D31" s="1090">
        <f>SUBTOTAL(9,D8:D30)</f>
        <v>1321</v>
      </c>
    </row>
    <row r="32" spans="1:4" ht="7.5" customHeight="1"/>
    <row r="33" spans="1:1" ht="6" customHeight="1"/>
    <row r="34" spans="1:1">
      <c r="A34" s="439" t="str">
        <f>Criterios!A4</f>
        <v>Fecha Informe: 05 may. 2023</v>
      </c>
    </row>
    <row r="39" spans="1:1">
      <c r="A39" s="462"/>
    </row>
  </sheetData>
  <sheetProtection algorithmName="SHA-512" hashValue="ebMBxMuUrJGVQcwm0hz4thA97KpWc8E/JlEwv1pDnxckzIyEGT+pxqKuYDk6gdN2qf0iyKZ0ZyRXvrmMZ7gU1Q==" saltValue="+qx2ECbyln7SUs8m+AIy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UBEDA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-0.31578947368421051</v>
      </c>
      <c r="C10" s="515">
        <f>IF(ISNUMBER((Datos!J10-Datos!T10)/Datos!T10),(Datos!J10-Datos!T10)/Datos!T10," - ")</f>
        <v>-0.61111111111111116</v>
      </c>
      <c r="D10" s="515">
        <f>IF(ISNUMBER((Datos!K10-Datos!U10)/Datos!U10),(Datos!K10-Datos!U10)/Datos!U10," - ")</f>
        <v>-0.58823529411764708</v>
      </c>
      <c r="E10" s="515">
        <f>IF(ISNUMBER((Datos!L10-Datos!V10)/Datos!V10),(Datos!L10-Datos!V10)/Datos!V10," - ")</f>
        <v>-0.35</v>
      </c>
      <c r="F10" s="515">
        <f>IF(ISNUMBER((Datos!M10-Datos!W10)/Datos!W10),(Datos!M10-Datos!W10)/Datos!W10," - ")</f>
        <v>-0.8</v>
      </c>
      <c r="G10" s="516">
        <f>IF(ISNUMBER((Datos!N10-Datos!X10)/Datos!X10),(Datos!N10-Datos!X10)/Datos!X10," - ")</f>
        <v>0</v>
      </c>
      <c r="H10" s="514">
        <f>IF(ISNUMBER(((NºAsuntos!G10/NºAsuntos!E10)-Datos!BD10)/Datos!BD10),((NºAsuntos!G10/NºAsuntos!E10)-Datos!BD10)/Datos!BD10," - ")</f>
        <v>5.8823529411764733E-2</v>
      </c>
      <c r="I10" s="515">
        <f>IF(ISNUMBER(((NºAsuntos!I10/NºAsuntos!G10)-Datos!BE10)/Datos!BE10),((NºAsuntos!I10/NºAsuntos!G10)-Datos!BE10)/Datos!BE10," - ")</f>
        <v>0.57857142857142863</v>
      </c>
      <c r="J10" s="521">
        <f>IF(ISNUMBER((('Resol  Asuntos'!D10/NºAsuntos!G10)-Datos!BF10)/Datos!BF10),(('Resol  Asuntos'!D10/NºAsuntos!G10)-Datos!BF10)/Datos!BF10," - ")</f>
        <v>-0.51428571428571435</v>
      </c>
      <c r="K10" s="522">
        <f>IF(ISNUMBER((((NºAsuntos!C10+NºAsuntos!E10)/NºAsuntos!G10)-Datos!BG10)/Datos!BG10),(((NºAsuntos!C10+NºAsuntos!E10)/NºAsuntos!G10)-Datos!BG10)/Datos!BG10," - ")</f>
        <v>0.31274131274131289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-0.27549019607843139</v>
      </c>
      <c r="C12" s="515">
        <f>IF(ISNUMBER(
   IF(J_V="SI",(Datos!J12-Datos!T12)/Datos!T12,(Datos!J12+Datos!Z12-(Datos!T12+Datos!AH12))/(Datos!T12+Datos!AH12))
     ),IF(J_V="SI",(Datos!J12-Datos!T12)/Datos!T12,(Datos!J12+Datos!Z12-(Datos!T12+Datos!AH12))/(Datos!T12+Datos!AH12))," - ")</f>
        <v>0.16634799235181644</v>
      </c>
      <c r="D12" s="515">
        <f>IF(ISNUMBER(
   IF(J_V="SI",(Datos!K12-Datos!U12)/Datos!U12,(Datos!K12+Datos!AA12-(Datos!U12+Datos!AI12))/(Datos!U12+Datos!AI12))
     ),IF(J_V="SI",(Datos!K12-Datos!U12)/Datos!U12,(Datos!K12+Datos!AA12-(Datos!U12+Datos!AI12))/(Datos!U12+Datos!AI12))," - ")</f>
        <v>-0.1763869132290185</v>
      </c>
      <c r="E12" s="515">
        <f>IF(ISNUMBER(
   IF(J_V="SI",(Datos!L12-Datos!V12)/Datos!V12,(Datos!L12+Datos!AB12-(Datos!V12+Datos!AJ12))/(Datos!V12+Datos!AJ12))
     ),IF(J_V="SI",(Datos!L12-Datos!V12)/Datos!V12,(Datos!L12+Datos!AB12-(Datos!V12+Datos!AJ12))/(Datos!V12+Datos!AJ12))," - ")</f>
        <v>-8.4523809523809529E-2</v>
      </c>
      <c r="F12" s="515">
        <f>IF(ISNUMBER((Datos!M12-Datos!W12)/Datos!W12),(Datos!M12-Datos!W12)/Datos!W12," - ")</f>
        <v>-0.19354838709677419</v>
      </c>
      <c r="G12" s="516">
        <f>IF(ISNUMBER((Datos!N12-Datos!X12)/Datos!X12),(Datos!N12-Datos!X12)/Datos!X12," - ")</f>
        <v>-0.27027027027027029</v>
      </c>
      <c r="H12" s="514">
        <f>IF(ISNUMBER(((NºAsuntos!G12/NºAsuntos!E12)-Datos!BD12)/Datos!BD12),((NºAsuntos!G12/NºAsuntos!E12)-Datos!BD12)/Datos!BD12," - ")</f>
        <v>-0.29385304199799461</v>
      </c>
      <c r="I12" s="515">
        <f>IF(ISNUMBER(((NºAsuntos!I12/NºAsuntos!G12)-Datos!BE12)/Datos!BE12),((NºAsuntos!I12/NºAsuntos!G12)-Datos!BE12)/Datos!BE12," - ")</f>
        <v>0.11153672176988223</v>
      </c>
      <c r="J12" s="521">
        <f>IF(ISNUMBER((('Resol  Asuntos'!D12/NºAsuntos!G12)-Datos!BF12)/Datos!BF12),(('Resol  Asuntos'!D12/NºAsuntos!G12)-Datos!BF12)/Datos!BF12," - ")</f>
        <v>-0.48726252158894645</v>
      </c>
      <c r="K12" s="522">
        <f>IF(ISNUMBER((((NºAsuntos!C12+NºAsuntos!E12)/NºAsuntos!G12)-Datos!BG12)/Datos!BG12),(((NºAsuntos!C12+NºAsuntos!E12)/NºAsuntos!G12)-Datos!BG12)/Datos!BG12," - ")</f>
        <v>6.1506810522085877E-2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-0.2762271414821944</v>
      </c>
      <c r="C14" s="1152">
        <f>IF(ISNUMBER(
   IF(J_V="SI",(Datos!J14-Datos!T14)/Datos!T14,(Datos!J14+Datos!Z14-(Datos!T14+Datos!AH14))/(Datos!T14+Datos!AH14))
     ),IF(J_V="SI",(Datos!J14-Datos!T14)/Datos!T14,(Datos!J14+Datos!Z14-(Datos!T14+Datos!AH14))/(Datos!T14+Datos!AH14))," - ")</f>
        <v>0.14048059149722736</v>
      </c>
      <c r="D14" s="1152">
        <f>IF(ISNUMBER(
   IF(J_V="SI",(Datos!K14-Datos!U14)/Datos!U14,(Datos!K14+Datos!AA14-(Datos!U14+Datos!AI14))/(Datos!U14+Datos!AI14))
     ),IF(J_V="SI",(Datos!K14-Datos!U14)/Datos!U14,(Datos!K14+Datos!AA14-(Datos!U14+Datos!AI14))/(Datos!U14+Datos!AI14))," - ")</f>
        <v>-0.18611111111111112</v>
      </c>
      <c r="E14" s="1152">
        <f>IF(ISNUMBER(
   IF(J_V="SI",(Datos!L14-Datos!V14)/Datos!V14,(Datos!L14+Datos!AB14-(Datos!V14+Datos!AJ14))/(Datos!V14+Datos!AJ14))
     ),IF(J_V="SI",(Datos!L14-Datos!V14)/Datos!V14,(Datos!L14+Datos!AB14-(Datos!V14+Datos!AJ14))/(Datos!V14+Datos!AJ14))," - ")</f>
        <v>-9.0697674418604657E-2</v>
      </c>
      <c r="F14" s="1153">
        <f>IF(ISNUMBER((Datos!M14-Datos!W14)/Datos!W14),(Datos!M14-Datos!W14)/Datos!W14," - ")</f>
        <v>-0.21249999999999999</v>
      </c>
      <c r="G14" s="1154">
        <f>IF(ISNUMBER((Datos!N14-Datos!X14)/Datos!X14),(Datos!N14-Datos!X14)/Datos!X14," - ")</f>
        <v>-0.26845637583892618</v>
      </c>
      <c r="H14" s="1154">
        <f>IF(ISNUMBER(((NºAsuntos!G14/NºAsuntos!E14)-Datos!BD14)/Datos!BD14),((NºAsuntos!G14/NºAsuntos!E14)-Datos!BD14)/Datos!BD14," - ")</f>
        <v>-0.28636322708445883</v>
      </c>
      <c r="I14" s="1154">
        <f>IF(ISNUMBER(((NºAsuntos!I14/NºAsuntos!G14)-Datos!BE14)/Datos!BE14),((NºAsuntos!I14/NºAsuntos!G14)-Datos!BE14)/Datos!BE14," - ")</f>
        <v>0.11723152631161213</v>
      </c>
      <c r="J14" s="1154">
        <f>IF(ISNUMBER((('Resol  Asuntos'!D14/NºAsuntos!G14)-Datos!BF14)/Datos!BF14),(('Resol  Asuntos'!D14/NºAsuntos!G14)-Datos!BF14)/Datos!BF14," - ")</f>
        <v>-0.48567346614810697</v>
      </c>
      <c r="K14" s="1154">
        <f>IF(ISNUMBER((((NºAsuntos!C14+NºAsuntos!E14)/NºAsuntos!G14)-Datos!BG14)/Datos!BG14),(((NºAsuntos!C14+NºAsuntos!E14)/NºAsuntos!G14)-Datos!BG14)/Datos!BG14," - ")</f>
        <v>6.4587203525294665E-2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-7.0921985815602835E-3</v>
      </c>
      <c r="C17" s="515">
        <f>IF(ISNUMBER(
   IF(D_I="SI",(Datos!J17-Datos!T17)/Datos!T17,(Datos!J17+Datos!AD17-(Datos!T17+Datos!AL17))/(Datos!T17+Datos!AL17))
     ),IF(D_I="SI",(Datos!J17-Datos!T17)/Datos!T17,(Datos!J17+Datos!AD17-(Datos!T17+Datos!AL17))/(Datos!T17+Datos!AL17))," - ")</f>
        <v>0.16485225505443235</v>
      </c>
      <c r="D17" s="515">
        <f>IF(ISNUMBER(
   IF(D_I="SI",(Datos!K17-Datos!U17)/Datos!U17,(Datos!K17+Datos!AE17-(Datos!U17+Datos!AM17))/(Datos!U17+Datos!AM17))
     ),IF(D_I="SI",(Datos!K17-Datos!U17)/Datos!U17,(Datos!K17+Datos!AE17-(Datos!U17+Datos!AM17))/(Datos!U17+Datos!AM17))," - ")</f>
        <v>0.33034379671150971</v>
      </c>
      <c r="E17" s="515">
        <f>IF(ISNUMBER(
   IF(D_I="SI",(Datos!L17-Datos!V17)/Datos!V17,(Datos!L17+Datos!AF17-(Datos!V17+Datos!AN17))/(Datos!V17+Datos!AN17))
     ),IF(D_I="SI",(Datos!L17-Datos!V17)/Datos!V17,(Datos!L17+Datos!AF17-(Datos!V17+Datos!AN17))/(Datos!V17+Datos!AN17))," - ")</f>
        <v>-8.9253187613843349E-2</v>
      </c>
      <c r="F17" s="515">
        <f>IF(ISNUMBER((Datos!M17-Datos!W17)/Datos!W17),(Datos!M17-Datos!W17)/Datos!W17," - ")</f>
        <v>0.5</v>
      </c>
      <c r="G17" s="516">
        <f>IF(ISNUMBER((Datos!N17-Datos!X17)/Datos!X17),(Datos!N17-Datos!X17)/Datos!X17," - ")</f>
        <v>0.29571106094808125</v>
      </c>
      <c r="H17" s="514">
        <f>IF(ISNUMBER(((NºAsuntos!G17/NºAsuntos!E17)-Datos!BD17)/Datos!BD17),((NºAsuntos!G17/NºAsuntos!E17)-Datos!BD17)/Datos!BD17," - ")</f>
        <v>0.14207084283778476</v>
      </c>
      <c r="I17" s="515">
        <f>IF(ISNUMBER(((NºAsuntos!I17/NºAsuntos!G17)-Datos!BE17)/Datos!BE17),((NºAsuntos!I17/NºAsuntos!G17)-Datos!BE17)/Datos!BE17," - ")</f>
        <v>-0.31540492417265303</v>
      </c>
      <c r="J17" s="521">
        <f>IF(ISNUMBER((('Resol  Asuntos'!D17/NºAsuntos!G17)-Datos!BF17)/Datos!BF17),(('Resol  Asuntos'!D17/NºAsuntos!G17)-Datos!BF17)/Datos!BF17," - ")</f>
        <v>0.12752808988764053</v>
      </c>
      <c r="K17" s="522">
        <f>IF(ISNUMBER((((NºAsuntos!C17+NºAsuntos!E17)/NºAsuntos!G17)-Datos!BG17)/Datos!BG17),(((NºAsuntos!C17+NºAsuntos!E17)/NºAsuntos!G17)-Datos!BG17)/Datos!BG17," - ")</f>
        <v>-0.18479189745212843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-3.7037037037037035E-2</v>
      </c>
      <c r="C18" s="515">
        <f>IF(ISNUMBER(
   IF(D_I="SI",(Datos!J18-Datos!T18)/Datos!T18,(Datos!J18+Datos!AD18-(Datos!T18+Datos!AL18))/(Datos!T18+Datos!AL18))
     ),IF(D_I="SI",(Datos!J18-Datos!T18)/Datos!T18,(Datos!J18+Datos!AD18-(Datos!T18+Datos!AL18))/(Datos!T18+Datos!AL18))," - ")</f>
        <v>0.23809523809523808</v>
      </c>
      <c r="D18" s="515">
        <f>IF(ISNUMBER(
   IF(D_I="SI",(Datos!K18-Datos!U18)/Datos!U18,(Datos!K18+Datos!AE18-(Datos!U18+Datos!AM18))/(Datos!U18+Datos!AM18))
     ),IF(D_I="SI",(Datos!K18-Datos!U18)/Datos!U18,(Datos!K18+Datos!AE18-(Datos!U18+Datos!AM18))/(Datos!U18+Datos!AM18))," - ")</f>
        <v>0.15068493150684931</v>
      </c>
      <c r="E18" s="515">
        <f>IF(ISNUMBER(
   IF(D_I="SI",(Datos!L18-Datos!V18)/Datos!V18,(Datos!L18+Datos!AF18-(Datos!V18+Datos!AN18))/(Datos!V18+Datos!AN18))
     ),IF(D_I="SI",(Datos!L18-Datos!V18)/Datos!V18,(Datos!L18+Datos!AF18-(Datos!V18+Datos!AN18))/(Datos!V18+Datos!AN18))," - ")</f>
        <v>4.5454545454545456E-2</v>
      </c>
      <c r="F18" s="515">
        <f>IF(ISNUMBER((Datos!M18-Datos!W18)/Datos!W18),(Datos!M18-Datos!W18)/Datos!W18," - ")</f>
        <v>8.3333333333333329E-2</v>
      </c>
      <c r="G18" s="516">
        <f>IF(ISNUMBER((Datos!N18-Datos!X18)/Datos!X18),(Datos!N18-Datos!X18)/Datos!X18," - ")</f>
        <v>0.33333333333333331</v>
      </c>
      <c r="H18" s="514">
        <f>IF(ISNUMBER(((NºAsuntos!G18/NºAsuntos!E18)-Datos!BD18)/Datos!BD18),((NºAsuntos!G18/NºAsuntos!E18)-Datos!BD18)/Datos!BD18," - ")</f>
        <v>-7.0600632244467984E-2</v>
      </c>
      <c r="I18" s="515">
        <f>IF(ISNUMBER(((NºAsuntos!I18/NºAsuntos!G18)-Datos!BE18)/Datos!BE18),((NºAsuntos!I18/NºAsuntos!G18)-Datos!BE18)/Datos!BE18," - ")</f>
        <v>-9.145021645021631E-2</v>
      </c>
      <c r="J18" s="521">
        <f>IF(ISNUMBER((('Resol  Asuntos'!D18/NºAsuntos!G18)-Datos!BF18)/Datos!BF18),(('Resol  Asuntos'!D18/NºAsuntos!G18)-Datos!BF18)/Datos!BF18," - ")</f>
        <v>-5.8531746031745949E-2</v>
      </c>
      <c r="K18" s="522">
        <f>IF(ISNUMBER((((NºAsuntos!C18+NºAsuntos!E18)/NºAsuntos!G18)-Datos!BG18)/Datos!BG18),(((NºAsuntos!C18+NºAsuntos!E18)/NºAsuntos!G18)-Datos!BG18)/Datos!BG18," - ")</f>
        <v>-3.4391534391534341E-2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-9.7087378640776691E-3</v>
      </c>
      <c r="C23" s="1152">
        <f>IF(ISNUMBER(
   IF(Criterios!B14="SI",(Datos!J23-Datos!T23)/Datos!T23,(Datos!J23+Datos!AD23-(Datos!T23+Datos!AL23))/(Datos!T23+Datos!AL23))
     ),IF(Criterios!B14="SI",(Datos!J23-Datos!T23)/Datos!T23,(Datos!J23+Datos!AD23-(Datos!T23+Datos!AL23))/(Datos!T23+Datos!AL23))," - ")</f>
        <v>0.17138810198300283</v>
      </c>
      <c r="D23" s="1152">
        <f>IF(ISNUMBER(
   IF(Criterios!B14="SI",(Datos!K23-Datos!U23)/Datos!U23,(Datos!K23+Datos!AE23-(Datos!U23+Datos!AM23))/(Datos!U23+Datos!AM23))
     ),IF(Criterios!B14="SI",(Datos!K23-Datos!U23)/Datos!U23,(Datos!K23+Datos!AE23-(Datos!U23+Datos!AM23))/(Datos!U23+Datos!AM23))," - ")</f>
        <v>0.31266846361185985</v>
      </c>
      <c r="E23" s="1152">
        <f>IF(ISNUMBER(
   IF(Criterios!B14="SI",(Datos!L23-Datos!V23)/Datos!V23,(Datos!L23+Datos!AF23-(Datos!V23+Datos!AN23))/(Datos!V23+Datos!AN23))
     ),IF(Criterios!B14="SI",(Datos!L23-Datos!V23)/Datos!V23,(Datos!L23+Datos!AF23-(Datos!V23+Datos!AN23))/(Datos!V23+Datos!AN23))," - ")</f>
        <v>-7.9258010118043842E-2</v>
      </c>
      <c r="F23" s="1153">
        <f>IF(ISNUMBER((Datos!M23-Datos!W23)/Datos!W23),(Datos!M23-Datos!W23)/Datos!W23," - ")</f>
        <v>0.44186046511627908</v>
      </c>
      <c r="G23" s="1154">
        <f>IF(ISNUMBER((Datos!N23-Datos!X23)/Datos!X23),(Datos!N23-Datos!X23)/Datos!X23," - ")</f>
        <v>0.29896907216494845</v>
      </c>
      <c r="H23" s="1154">
        <f>IF(ISNUMBER(((NºAsuntos!G23/NºAsuntos!E23)-Datos!BD23)/Datos!BD23),((NºAsuntos!G23/NºAsuntos!E23)-Datos!BD23)/Datos!BD23," - ")</f>
        <v>0.1206093534582504</v>
      </c>
      <c r="I23" s="1154">
        <f>IF(ISNUMBER(((NºAsuntos!I23/NºAsuntos!G23)-Datos!BE23)/Datos!BE23),((NºAsuntos!I23/NºAsuntos!G23)-Datos!BE23)/Datos!BE23," - ")</f>
        <v>-0.2985723239297623</v>
      </c>
      <c r="J23" s="1154">
        <f>IF(ISNUMBER((('Resol  Asuntos'!D23/NºAsuntos!G23)-Datos!BF23)/Datos!BF23),(('Resol  Asuntos'!D23/NºAsuntos!G23)-Datos!BF23)/Datos!BF23," - ")</f>
        <v>9.8419368702545293E-2</v>
      </c>
      <c r="K23" s="1154">
        <f>IF(ISNUMBER((((NºAsuntos!C23+NºAsuntos!E23)/NºAsuntos!G23)-Datos!BG23)/Datos!BG23),(((NºAsuntos!C23+NºAsuntos!E23)/NºAsuntos!G23)-Datos!BG23)/Datos!BG23," - ")</f>
        <v>-0.1720239830766081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-0.17682558841279419</v>
      </c>
      <c r="C31" s="1092">
        <f>IF(ISNUMBER(
   IF(J_V="SI",(Datos!J31-Datos!T31)/Datos!T31,(Datos!J31+Datos!Z31-(Datos!T31+Datos!AH31))/(Datos!T31+Datos!AH31))
     ),IF(J_V="SI",(Datos!J31-Datos!T31)/Datos!T31,(Datos!J31+Datos!Z31-(Datos!T31+Datos!AH31))/(Datos!T31+Datos!AH31))," - ")</f>
        <v>0.15797914995990378</v>
      </c>
      <c r="D31" s="1092">
        <f>IF(ISNUMBER(
   IF(J_V="SI",(Datos!K31-Datos!U31)/Datos!U31,(Datos!K31+Datos!AA31-(Datos!U31+Datos!AI31))/(Datos!U31+Datos!AI31))
     ),IF(J_V="SI",(Datos!K31-Datos!U31)/Datos!U31,(Datos!K31+Datos!AA31-(Datos!U31+Datos!AI31))/(Datos!U31+Datos!AI31))," - ")</f>
        <v>6.7031463748290013E-2</v>
      </c>
      <c r="E31" s="1092">
        <f>IF(ISNUMBER(
   IF(J_V="SI",(Datos!L31-Datos!V31)/Datos!V31,(Datos!L31+Datos!AB31-(Datos!V31+Datos!AJ31))/(Datos!V31+Datos!AJ31))
     ),IF(J_V="SI",(Datos!L31-Datos!V31)/Datos!V31,(Datos!L31+Datos!AB31-(Datos!V31+Datos!AJ31))/(Datos!V31+Datos!AJ31))," - ")</f>
        <v>-8.6028905712319345E-2</v>
      </c>
      <c r="F31" s="1093">
        <f>IF(ISNUMBER((Datos!M31-Datos!W31)/Datos!W31),(Datos!M31-Datos!W31)/Datos!W31," - ")</f>
        <v>1.6260162601626018E-2</v>
      </c>
      <c r="G31" s="1094">
        <f>IF(ISNUMBER((Datos!N31-Datos!X31)/Datos!X31),(Datos!N31-Datos!X31)/Datos!X31," - ")</f>
        <v>8.3014048531289908E-2</v>
      </c>
      <c r="H31" s="1095">
        <f>IF(ISNUMBER((Tasas!B31-Datos!BD31)/Datos!BD31),(Tasas!B31-Datos!BD31)/Datos!BD31," - ")</f>
        <v>-7.8540003258921298E-2</v>
      </c>
      <c r="I31" s="1096">
        <f>IF(ISNUMBER((Tasas!C31-Datos!BE31)/Datos!BE31),(Tasas!C31-Datos!BE31)/Datos!BE31," - ")</f>
        <v>-0.14344503855859678</v>
      </c>
      <c r="J31" s="1097">
        <f>IF(ISNUMBER((Tasas!D31-Datos!BF31)/Datos!BF31),(Tasas!D31-Datos!BF31)/Datos!BF31," - ")</f>
        <v>-0.39458689458689455</v>
      </c>
      <c r="K31" s="1097">
        <f>IF(ISNUMBER((Tasas!E31-Datos!BG31)/Datos!BG31),(Tasas!E31-Datos!BG31)/Datos!BG31," - ")</f>
        <v>-9.3801652892561968E-2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hrwjT7jJmObiB9QRug+9CO57NtDmLvLZ4yohIaGXQ6q+KeQOKfzQolIpE/FwNi302bxH2+KG8/3MiFehSaOAA==" saltValue="Bq8FSh/v8S3I1TL/3RPq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UBEDA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1.8571428571428572</v>
      </c>
      <c r="D10" s="499">
        <f>IF(ISNUMBER('Resol  Asuntos'!D10/NºAsuntos!G10),'Resol  Asuntos'!D10/NºAsuntos!G10," - ")</f>
        <v>0.14285714285714285</v>
      </c>
      <c r="E10" s="500">
        <f>IF(ISNUMBER((NºAsuntos!C10+NºAsuntos!E10)/NºAsuntos!G10),(NºAsuntos!C10+NºAsuntos!E10)/NºAsuntos!G10," - ")</f>
        <v>2.8571428571428572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0.94918032786885242</v>
      </c>
      <c r="C12" s="498">
        <f>IF(ISNUMBER(NºAsuntos!I12/NºAsuntos!G12),NºAsuntos!I12/NºAsuntos!G12," - ")</f>
        <v>1.3281519861830742</v>
      </c>
      <c r="D12" s="499">
        <f>IF(ISNUMBER('Resol  Asuntos'!D12/NºAsuntos!G12),'Resol  Asuntos'!D12/NºAsuntos!G12," - ")</f>
        <v>0.21588946459412781</v>
      </c>
      <c r="E12" s="500">
        <f>IF(ISNUMBER((NºAsuntos!C12+NºAsuntos!E12)/NºAsuntos!G12),(NºAsuntos!C12+NºAsuntos!E12)/NºAsuntos!G12," - ")</f>
        <v>2.3298791018998273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0.94975688816855752</v>
      </c>
      <c r="C14" s="1156">
        <f>IF(ISNUMBER(NºAsuntos!I14/NºAsuntos!G14),NºAsuntos!I14/NºAsuntos!G14," - ")</f>
        <v>1.3344709897610922</v>
      </c>
      <c r="D14" s="1157">
        <f>IF(ISNUMBER('Resol  Asuntos'!D14/NºAsuntos!G14),'Resol  Asuntos'!D14/NºAsuntos!G14," - ")</f>
        <v>0.21501706484641639</v>
      </c>
      <c r="E14" s="1158">
        <f>IF(ISNUMBER((NºAsuntos!C14+NºAsuntos!E14)/NºAsuntos!G14),(NºAsuntos!C14+NºAsuntos!E14)/NºAsuntos!G14," - ")</f>
        <v>2.3361774744027302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1.1882510013351135</v>
      </c>
      <c r="C17" s="498">
        <f>IF(ISNUMBER(NºAsuntos!I17/NºAsuntos!G17),NºAsuntos!I17/NºAsuntos!G17," - ")</f>
        <v>0.5617977528089888</v>
      </c>
      <c r="D17" s="499">
        <f>IF(ISNUMBER('Resol  Asuntos'!D17/NºAsuntos!G17),'Resol  Asuntos'!D17/NºAsuntos!G17," - ")</f>
        <v>0.12471910112359551</v>
      </c>
      <c r="E17" s="500">
        <f>IF(ISNUMBER((NºAsuntos!C17+NºAsuntos!E17)/NºAsuntos!G17),(NºAsuntos!C17+NºAsuntos!E17)/NºAsuntos!G17," - ")</f>
        <v>1.4707865168539327</v>
      </c>
      <c r="G17" s="523"/>
    </row>
    <row r="18" spans="1:7">
      <c r="A18" s="450" t="str">
        <f>Datos!A18</f>
        <v>Jdos. Violencia contra la mujer</v>
      </c>
      <c r="B18" s="497">
        <f>IF(ISNUMBER(NºAsuntos!G18/NºAsuntos!E18),NºAsuntos!G18/NºAsuntos!E18," - ")</f>
        <v>1.0769230769230769</v>
      </c>
      <c r="C18" s="498">
        <f>IF(ISNUMBER(NºAsuntos!I18/NºAsuntos!G18),NºAsuntos!I18/NºAsuntos!G18," - ")</f>
        <v>0.54761904761904767</v>
      </c>
      <c r="D18" s="499">
        <f>IF(ISNUMBER('Resol  Asuntos'!D18/NºAsuntos!G18),'Resol  Asuntos'!D18/NºAsuntos!G18," - ")</f>
        <v>0.15476190476190477</v>
      </c>
      <c r="E18" s="500">
        <f>IF(ISNUMBER((NºAsuntos!C18+NºAsuntos!E18)/NºAsuntos!G18),(NºAsuntos!C18+NºAsuntos!E18)/NºAsuntos!G18," - ")</f>
        <v>1.5476190476190477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1.1777509068923822</v>
      </c>
      <c r="C23" s="1156">
        <f>IF(ISNUMBER(NºAsuntos!I23/NºAsuntos!G23),NºAsuntos!I23/NºAsuntos!G23," - ")</f>
        <v>0.56057494866529778</v>
      </c>
      <c r="D23" s="1159">
        <f>IF(ISNUMBER('Resol  Asuntos'!D23/NºAsuntos!G23),'Resol  Asuntos'!D23/NºAsuntos!G23," - ")</f>
        <v>0.12731006160164271</v>
      </c>
      <c r="E23" s="1158">
        <f>IF(ISNUMBER((NºAsuntos!C23+NºAsuntos!E23)/NºAsuntos!G23),(NºAsuntos!C23+NºAsuntos!E23)/NºAsuntos!G23," - ")</f>
        <v>1.4774127310061602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1.0803324099722991</v>
      </c>
      <c r="C31" s="1099">
        <f>IF(ISNUMBER(NºAsuntos!I31/NºAsuntos!G31),NºAsuntos!I31/NºAsuntos!G31," - ")</f>
        <v>0.85128205128205126</v>
      </c>
      <c r="D31" s="1100">
        <f>IF(ISNUMBER('Resol  Asuntos'!D31/NºAsuntos!G31),'Resol  Asuntos'!D31/NºAsuntos!G31," - ")</f>
        <v>0.16025641025641027</v>
      </c>
      <c r="E31" s="1101">
        <f>IF(ISNUMBER((NºAsuntos!C31+NºAsuntos!E31)/NºAsuntos!G31),(NºAsuntos!C31+NºAsuntos!E31)/NºAsuntos!G31," - ")</f>
        <v>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e4FMR3ICZm+mJx15AHuZLT+LCXaPDyh++BxDMJvajvPjEVOnI0dfqr7iELJwlAwp5cDKyCxv6hlxjgf0azr6g==" saltValue="xF6J1WikvquV/mtvJjHDn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UBEDA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3</v>
      </c>
      <c r="Y10" s="374">
        <f t="shared" ref="Y10:Y13" si="0">SUM(W10:X10)</f>
        <v>10</v>
      </c>
      <c r="Z10" s="375" t="str">
        <f>IF(ISNUMBER(Datos!CC10),Datos!CC10," - ")</f>
        <v xml:space="preserve"> - </v>
      </c>
      <c r="AA10" s="372">
        <f>IF(ISNUMBER(Datos!L10),Datos!L10,"-")</f>
        <v>13</v>
      </c>
      <c r="AB10" s="374">
        <f>IF(ISNUMBER(Datos!R10),Datos!R10," - ")</f>
        <v>6</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5.5714285714285721</v>
      </c>
      <c r="AN10" s="267">
        <f>IF(ISNUMBER('Resol  Asuntos'!D10/NºAsuntos!G10),'Resol  Asuntos'!D10/NºAsuntos!G10," - ")</f>
        <v>0.14285714285714285</v>
      </c>
      <c r="AO10" s="268">
        <f>IF(ISNUMBER((NºAsuntos!C10+NºAsuntos!E10)/NºAsuntos!G10),(NºAsuntos!C10+NºAsuntos!E10)/NºAsuntos!G10," - ")</f>
        <v>2.8571428571428572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263</v>
      </c>
      <c r="Y12" s="374">
        <f t="shared" si="0"/>
        <v>263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125</v>
      </c>
      <c r="AJ12" s="243" t="str">
        <f>IF(ISNUMBER(Datos!BW12),Datos!BW12," - ")</f>
        <v xml:space="preserve"> - </v>
      </c>
      <c r="AK12" s="242" t="str">
        <f>IF(ISNUMBER(Datos!BX12),Datos!BX12," - ")</f>
        <v xml:space="preserve"> - </v>
      </c>
      <c r="AL12" s="266">
        <f>IF(ISNUMBER(NºAsuntos!G12/NºAsuntos!E12),NºAsuntos!G12/NºAsuntos!E12," - ")</f>
        <v>0.94918032786885242</v>
      </c>
      <c r="AM12" s="284">
        <f>IF(ISNUMBER(((NºAsuntos!I12/NºAsuntos!G12)*11)/factor_trimestre),((NºAsuntos!I12/NºAsuntos!G12)*11)/factor_trimestre," - ")</f>
        <v>3.9844559585492227</v>
      </c>
      <c r="AN12" s="267">
        <f>IF(ISNUMBER('Resol  Asuntos'!D12/NºAsuntos!G12),'Resol  Asuntos'!D12/NºAsuntos!G12," - ")</f>
        <v>0.21588946459412781</v>
      </c>
      <c r="AO12" s="268">
        <f>IF(ISNUMBER((NºAsuntos!C12+NºAsuntos!E12)/NºAsuntos!G12),(NºAsuntos!C12+NºAsuntos!E12)/NºAsuntos!G12," - ")</f>
        <v>2.3298791018998273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13</v>
      </c>
      <c r="G14" s="1163">
        <f t="shared" si="5"/>
        <v>13</v>
      </c>
      <c r="H14" s="1162">
        <f t="shared" si="5"/>
        <v>0</v>
      </c>
      <c r="I14" s="1164">
        <f t="shared" si="5"/>
        <v>0</v>
      </c>
      <c r="J14" s="1164">
        <f t="shared" si="5"/>
        <v>0</v>
      </c>
      <c r="K14" s="1164">
        <f t="shared" si="5"/>
        <v>0</v>
      </c>
      <c r="L14" s="1164">
        <f t="shared" si="5"/>
        <v>152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266</v>
      </c>
      <c r="Y14" s="1165">
        <f t="shared" si="6"/>
        <v>273</v>
      </c>
      <c r="Z14" s="1165">
        <f t="shared" si="6"/>
        <v>0</v>
      </c>
      <c r="AA14" s="1165">
        <f t="shared" si="6"/>
        <v>13</v>
      </c>
      <c r="AB14" s="1165">
        <f t="shared" si="6"/>
        <v>1244</v>
      </c>
      <c r="AC14" s="1165">
        <f t="shared" si="6"/>
        <v>19</v>
      </c>
      <c r="AD14" s="1165">
        <f t="shared" si="6"/>
        <v>0</v>
      </c>
      <c r="AE14" s="1169">
        <f t="shared" si="6"/>
        <v>0</v>
      </c>
      <c r="AF14" s="1162">
        <f t="shared" si="6"/>
        <v>0</v>
      </c>
      <c r="AG14" s="1170">
        <f t="shared" si="6"/>
        <v>0</v>
      </c>
      <c r="AH14" s="1167">
        <f t="shared" si="6"/>
        <v>0</v>
      </c>
      <c r="AI14" s="1162">
        <f t="shared" si="6"/>
        <v>126</v>
      </c>
      <c r="AJ14" s="1164">
        <f t="shared" si="6"/>
        <v>0</v>
      </c>
      <c r="AK14" s="1167">
        <f>SUBTOTAL(9,AK9:AK13)</f>
        <v>0</v>
      </c>
      <c r="AL14" s="1171">
        <f>IF(ISNUMBER(NºAsuntos!G14/NºAsuntos!E14),NºAsuntos!G14/NºAsuntos!E14," - ")</f>
        <v>0.94975688816855752</v>
      </c>
      <c r="AM14" s="1171">
        <f>IF(ISNUMBER(((NºAsuntos!I14/NºAsuntos!G14)*11)/factor_trimestre),((NºAsuntos!I14/NºAsuntos!G14)*11)/factor_trimestre," - ")</f>
        <v>4.0034129692832767</v>
      </c>
      <c r="AN14" s="1172">
        <f>IF(ISNUMBER('Resol  Asuntos'!D14/NºAsuntos!G14),'Resol  Asuntos'!D14/NºAsuntos!G14," - ")</f>
        <v>0.21501706484641639</v>
      </c>
      <c r="AO14" s="1173">
        <f>IF(ISNUMBER((NºAsuntos!C14+NºAsuntos!E14)/NºAsuntos!G14),(NºAsuntos!C14+NºAsuntos!E14)/NºAsuntos!G14," - ")</f>
        <v>2.3361774744027302</v>
      </c>
      <c r="AP14" s="1174" t="str">
        <f t="shared" si="2"/>
        <v xml:space="preserve"> - </v>
      </c>
      <c r="AQ14" s="1174">
        <f>IF(ISNUMBER((H14-W14+K14)/(F14)),(H14-W14+K14)/(F14)," - ")</f>
        <v>-0.53846153846153844</v>
      </c>
      <c r="AR14" s="1175">
        <f>IF(ISNUMBER((Datos!P14-Datos!Q14)/(Datos!R14-Datos!P14+Datos!Q14)),(Datos!P14-Datos!Q14)/(Datos!R14-Datos!P14+Datos!Q14)," - ")</f>
        <v>-8.3946980854197342E-2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641</v>
      </c>
      <c r="G17" s="373">
        <f>IF(ISNUMBER(IF(D_I="SI",Datos!I17,Datos!I17+Datos!AC17)),IF(D_I="SI",Datos!I17,Datos!I17+Datos!AC17)," - ")</f>
        <v>560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890</v>
      </c>
      <c r="X17" s="240">
        <f>IF(ISNUMBER(Datos!Q17),Datos!Q17," - ")</f>
        <v>30</v>
      </c>
      <c r="Y17" s="374">
        <f t="shared" ref="Y17:Y22" si="9">SUM(W17:X17)</f>
        <v>920</v>
      </c>
      <c r="Z17" s="375" t="str">
        <f>IF(ISNUMBER(Datos!CC17),Datos!CC17," - ")</f>
        <v xml:space="preserve"> - </v>
      </c>
      <c r="AA17" s="372">
        <f>IF(ISNUMBER(IF(D_I="SI",Datos!L17,Datos!L17+Datos!AF17)),IF(D_I="SI",Datos!L17,Datos!L17+Datos!AF17)," - ")</f>
        <v>500</v>
      </c>
      <c r="AB17" s="374">
        <f>IF(ISNUMBER(Datos!R17),Datos!R17," - ")</f>
        <v>77</v>
      </c>
      <c r="AC17" s="374">
        <f t="shared" si="8"/>
        <v>577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111</v>
      </c>
      <c r="AJ17" s="245" t="str">
        <f>IF(ISNUMBER(Datos!BW17),Datos!BW17," - ")</f>
        <v xml:space="preserve"> - </v>
      </c>
      <c r="AK17" s="246" t="str">
        <f>IF(ISNUMBER(Datos!BX17),Datos!BX17," - ")</f>
        <v xml:space="preserve"> - </v>
      </c>
      <c r="AL17" s="266">
        <f>IF(ISNUMBER(NºAsuntos!G17/NºAsuntos!E17),NºAsuntos!G17/NºAsuntos!E17," - ")</f>
        <v>1.1882510013351135</v>
      </c>
      <c r="AM17" s="284">
        <f>IF(ISNUMBER(((NºAsuntos!I17/NºAsuntos!G17)*11)/factor_trimestre),((NºAsuntos!I17/NºAsuntos!G17)*11)/factor_trimestre," - ")</f>
        <v>1.6853932584269664</v>
      </c>
      <c r="AN17" s="267">
        <f>IF(ISNUMBER('Resol  Asuntos'!D17/NºAsuntos!G17),'Resol  Asuntos'!D17/NºAsuntos!G17," - ")</f>
        <v>0.12471910112359551</v>
      </c>
      <c r="AO17" s="268">
        <f>IF(ISNUMBER((NºAsuntos!C17+NºAsuntos!E17)/NºAsuntos!G17),(NºAsuntos!C17+NºAsuntos!E17)/NºAsuntos!G17," - ")</f>
        <v>1.4707865168539327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84</v>
      </c>
      <c r="X18" s="240">
        <f>IF(ISNUMBER(Datos!Q18),Datos!Q18," - ")</f>
        <v>1</v>
      </c>
      <c r="Y18" s="374">
        <f t="shared" si="9"/>
        <v>85</v>
      </c>
      <c r="Z18" s="375" t="str">
        <f>IF(ISNUMBER(Datos!CC18),Datos!CC18," - ")</f>
        <v xml:space="preserve"> - </v>
      </c>
      <c r="AA18" s="372">
        <f>IF(ISNUMBER(Datos!L18),Datos!L18,"-")</f>
        <v>46</v>
      </c>
      <c r="AB18" s="374">
        <f>IF(ISNUMBER(Datos!R18),Datos!R18," - ")</f>
        <v>0</v>
      </c>
      <c r="AC18" s="374">
        <f t="shared" si="8"/>
        <v>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1.0769230769230769</v>
      </c>
      <c r="AM18" s="284">
        <f>IF(ISNUMBER(((NºAsuntos!I18/NºAsuntos!G18)*11)/factor_trimestre),((NºAsuntos!I18/NºAsuntos!G18)*11)/factor_trimestre," - ")</f>
        <v>1.6428571428571432</v>
      </c>
      <c r="AN18" s="267">
        <f>IF(ISNUMBER('Resol  Asuntos'!D18/NºAsuntos!G18),'Resol  Asuntos'!D18/NºAsuntos!G18," - ")</f>
        <v>0.15476190476190477</v>
      </c>
      <c r="AO18" s="268">
        <f>IF(ISNUMBER((NºAsuntos!C18+NºAsuntos!E18)/NºAsuntos!G18),(NºAsuntos!C18+NºAsuntos!E18)/NºAsuntos!G18," - ")</f>
        <v>1.5476190476190477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641</v>
      </c>
      <c r="G23" s="1163">
        <f>SUBTOTAL(9,G16:G22)</f>
        <v>612</v>
      </c>
      <c r="H23" s="1162">
        <f t="shared" ref="H23:O23" si="13">SUBTOTAL(9,H15:H22)</f>
        <v>0</v>
      </c>
      <c r="I23" s="1164">
        <f t="shared" si="13"/>
        <v>0</v>
      </c>
      <c r="J23" s="1164">
        <f t="shared" si="13"/>
        <v>0</v>
      </c>
      <c r="K23" s="1164">
        <f t="shared" si="13"/>
        <v>0</v>
      </c>
      <c r="L23" s="1164">
        <f t="shared" si="13"/>
        <v>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974</v>
      </c>
      <c r="X23" s="1164">
        <f t="shared" si="14"/>
        <v>31</v>
      </c>
      <c r="Y23" s="1165">
        <f t="shared" si="14"/>
        <v>1005</v>
      </c>
      <c r="Z23" s="1165">
        <f t="shared" si="14"/>
        <v>0</v>
      </c>
      <c r="AA23" s="1165">
        <f t="shared" si="14"/>
        <v>546</v>
      </c>
      <c r="AB23" s="1165">
        <f t="shared" si="14"/>
        <v>77</v>
      </c>
      <c r="AC23" s="1165">
        <f t="shared" si="14"/>
        <v>623</v>
      </c>
      <c r="AD23" s="1165">
        <f t="shared" si="14"/>
        <v>0</v>
      </c>
      <c r="AE23" s="1169">
        <f t="shared" si="14"/>
        <v>0</v>
      </c>
      <c r="AF23" s="1162">
        <f t="shared" si="14"/>
        <v>0</v>
      </c>
      <c r="AG23" s="1170">
        <f t="shared" si="14"/>
        <v>0</v>
      </c>
      <c r="AH23" s="1167">
        <f t="shared" si="14"/>
        <v>0</v>
      </c>
      <c r="AI23" s="1162">
        <f t="shared" si="14"/>
        <v>124</v>
      </c>
      <c r="AJ23" s="1164">
        <f t="shared" si="14"/>
        <v>0</v>
      </c>
      <c r="AK23" s="1167">
        <f t="shared" si="14"/>
        <v>0</v>
      </c>
      <c r="AL23" s="1171">
        <f>IF(ISNUMBER(NºAsuntos!G23/NºAsuntos!E23),NºAsuntos!G23/NºAsuntos!E23," - ")</f>
        <v>1.1777509068923822</v>
      </c>
      <c r="AM23" s="1171">
        <f>IF(ISNUMBER(((NºAsuntos!I23/NºAsuntos!G23)*11)/factor_trimestre),((NºAsuntos!I23/NºAsuntos!G23)*11)/factor_trimestre," - ")</f>
        <v>1.6817248459958933</v>
      </c>
      <c r="AN23" s="1172">
        <f>IF(ISNUMBER('Resol  Asuntos'!D23/NºAsuntos!G23),'Resol  Asuntos'!D23/NºAsuntos!G23," - ")</f>
        <v>0.12731006160164271</v>
      </c>
      <c r="AO23" s="1173">
        <f>IF(ISNUMBER((NºAsuntos!C23+NºAsuntos!E23)/NºAsuntos!G23),(NºAsuntos!C23+NºAsuntos!E23)/NºAsuntos!G23," - ")</f>
        <v>1.4774127310061602</v>
      </c>
      <c r="AP23" s="1174" t="str">
        <f t="shared" si="2"/>
        <v xml:space="preserve"> - </v>
      </c>
      <c r="AQ23" s="1174">
        <f>IF(ISNUMBER((H23-W23+K23)/(F23)),(H23-W23+K23)/(F23)," - ")</f>
        <v>-1.5195007800312013</v>
      </c>
      <c r="AR23" s="1175">
        <f>IF(ISNUMBER((Datos!P23-Datos!Q23)/(Datos!R23-Datos!P23+Datos!Q23)),(Datos!P23-Datos!Q23)/(Datos!R23-Datos!P23+Datos!Q23)," - ")</f>
        <v>-3.7499999999999999E-2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654</v>
      </c>
      <c r="G31" s="1118">
        <f t="shared" si="20"/>
        <v>625</v>
      </c>
      <c r="H31" s="1117">
        <f t="shared" si="20"/>
        <v>0</v>
      </c>
      <c r="I31" s="1119">
        <f t="shared" si="20"/>
        <v>0</v>
      </c>
      <c r="J31" s="1119">
        <f t="shared" si="20"/>
        <v>0</v>
      </c>
      <c r="K31" s="1180">
        <f t="shared" si="20"/>
        <v>0</v>
      </c>
      <c r="L31" s="1119">
        <f t="shared" si="20"/>
        <v>180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981</v>
      </c>
      <c r="X31" s="1118">
        <f t="shared" si="21"/>
        <v>297</v>
      </c>
      <c r="Y31" s="1125">
        <f t="shared" si="21"/>
        <v>1278</v>
      </c>
      <c r="Z31" s="1125">
        <f t="shared" si="21"/>
        <v>0</v>
      </c>
      <c r="AA31" s="1125">
        <f t="shared" si="21"/>
        <v>559</v>
      </c>
      <c r="AB31" s="1125">
        <f t="shared" si="21"/>
        <v>1321</v>
      </c>
      <c r="AC31" s="1125">
        <f t="shared" si="21"/>
        <v>642</v>
      </c>
      <c r="AD31" s="1125">
        <f t="shared" si="21"/>
        <v>0</v>
      </c>
      <c r="AE31" s="1127">
        <f t="shared" si="21"/>
        <v>0</v>
      </c>
      <c r="AF31" s="1128">
        <f t="shared" si="21"/>
        <v>0</v>
      </c>
      <c r="AG31" s="1129">
        <f t="shared" si="21"/>
        <v>0</v>
      </c>
      <c r="AH31" s="1127">
        <f t="shared" si="21"/>
        <v>0</v>
      </c>
      <c r="AI31" s="1117">
        <f t="shared" si="21"/>
        <v>250</v>
      </c>
      <c r="AJ31" s="1117">
        <f t="shared" si="21"/>
        <v>0</v>
      </c>
      <c r="AK31" s="1127">
        <f t="shared" si="21"/>
        <v>0</v>
      </c>
      <c r="AL31" s="1183">
        <f>IF(ISNUMBER(NºAsuntos!G31/NºAsuntos!E31),NºAsuntos!G31/NºAsuntos!E31," - ")</f>
        <v>1.0803324099722991</v>
      </c>
      <c r="AM31" s="1184">
        <f>IF(ISNUMBER(((NºAsuntos!I31/NºAsuntos!G31)*11)/factor_trimestre),((NºAsuntos!I31/NºAsuntos!G31)*11)/factor_trimestre," - ")</f>
        <v>2.5538461538461541</v>
      </c>
      <c r="AN31" s="1184">
        <f>IF(ISNUMBER('Resol  Asuntos'!D31/NºAsuntos!G31),'Resol  Asuntos'!D31/NºAsuntos!G31," - ")</f>
        <v>0.16025641025641027</v>
      </c>
      <c r="AO31" s="1185">
        <f>IF(ISNUMBER((NºAsuntos!C31+NºAsuntos!E31)/NºAsuntos!G31),(NºAsuntos!C31+NºAsuntos!E31)/NºAsuntos!G31," - ")</f>
        <v>1.8</v>
      </c>
      <c r="AP31" s="1186" t="str">
        <f t="shared" si="2"/>
        <v xml:space="preserve"> - </v>
      </c>
      <c r="AQ31" s="1187">
        <f>IF(OR(ISNUMBER(FIND("01",Criterios!A8,1)),ISNUMBER(FIND("02",Criterios!A8,1)),ISNUMBER(FIND("03",Criterios!A8,1)),ISNUMBER(FIND("04",Criterios!A8,1))),(I31-W31+K31)/(F31-K31),(H31-W31+K31)/(F31-K31))</f>
        <v>-1.5</v>
      </c>
      <c r="AR31" s="1188">
        <f>IF(ISNUMBER((Datos!P31-Datos!Q31)/(Datos!R31-Datos!P31+Datos!Q31)),(Datos!P31-Datos!Q31)/(Datos!R31-Datos!P31+Datos!Q31)," - ")</f>
        <v>-8.1363004172461756E-2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327.70596576809521</v>
      </c>
      <c r="G33" s="277">
        <f>IF(ISNUMBER(STDEV(G8:G30)),STDEV(G8:G30),"-")</f>
        <v>279.27636082254747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446.84252046469135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63.378680507384679</v>
      </c>
      <c r="AJ33" s="276">
        <f t="shared" si="25"/>
        <v>0</v>
      </c>
      <c r="AK33" s="278">
        <f t="shared" si="25"/>
        <v>0</v>
      </c>
      <c r="AL33" s="273">
        <f t="shared" si="25"/>
        <v>0.10824019533416677</v>
      </c>
      <c r="AM33" s="274">
        <f t="shared" si="25"/>
        <v>1.6638570317526333</v>
      </c>
      <c r="AN33" s="274">
        <f t="shared" si="25"/>
        <v>4.1748730630815516E-2</v>
      </c>
      <c r="AO33" s="275">
        <f t="shared" si="25"/>
        <v>0.58553941033032808</v>
      </c>
      <c r="AP33" s="317" t="str">
        <f t="shared" si="25"/>
        <v>-</v>
      </c>
      <c r="AQ33" s="318">
        <f t="shared" si="25"/>
        <v>0.69369950032401606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lWuwVv3MSjK0nxwf+MEwEnof+GfK1ORJuLxAVQT+q0S4q0kfqetyQfrW+dePYeY3uwqXTaFxZaSvz0qWuE6mA==" saltValue="/DI9fzrGTRH1D7uX7254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UBEDA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-0.31578947368421051</v>
      </c>
      <c r="E10" s="393">
        <f>IF(ISNUMBER((Datos!J10-Datos!T10)/Datos!T10),(Datos!J10-Datos!T10)/Datos!T10," - ")</f>
        <v>-0.61111111111111116</v>
      </c>
      <c r="F10" s="393">
        <f>IF(ISNUMBER((Datos!K10-Datos!U10)/Datos!U10),(Datos!K10-Datos!U10)/Datos!U10," - ")</f>
        <v>-0.58823529411764708</v>
      </c>
      <c r="G10" s="394">
        <f>IF(ISNUMBER((Datos!L10-Datos!V10)/Datos!V10),(Datos!L10-Datos!V10)/Datos!V10," - ")</f>
        <v>-0.35</v>
      </c>
      <c r="H10" s="244">
        <f>IF(ISNUMBER((Datos!M10-Datos!W10)/Datos!W10),(Datos!M10-Datos!W10)/Datos!W10," - ")</f>
        <v>-0.8</v>
      </c>
      <c r="I10" s="395">
        <f>IF(ISNUMBER((Tasas!C10-Datos!BE10)/Datos!BE10),(Tasas!C10-Datos!BE10)/Datos!BE10," - ")</f>
        <v>0.57857142857142863</v>
      </c>
      <c r="J10" s="394">
        <f>IF(ISNUMBER((Tasas!D10-Datos!BF10)/Datos!BF10),(Tasas!D10-Datos!BF10)/Datos!BF10," - ")</f>
        <v>-0.51428571428571435</v>
      </c>
      <c r="K10" s="396">
        <f>IF(ISNUMBER((Tasas!E10-Datos!BG10)/Datos!BG10),(Tasas!E10-Datos!BG10)/Datos!BG10," - ")</f>
        <v>0.31274131274131289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-0.19354838709677419</v>
      </c>
      <c r="I12" s="395">
        <f>IF(ISNUMBER((Tasas!C12-Datos!BE12)/Datos!BE12),(Tasas!C12-Datos!BE12)/Datos!BE12," - ")</f>
        <v>0.11153672176988223</v>
      </c>
      <c r="J12" s="394">
        <f>IF(ISNUMBER((Tasas!D12-Datos!BF12)/Datos!BF12),(Tasas!D12-Datos!BF12)/Datos!BF12," - ")</f>
        <v>-0.48726252158894645</v>
      </c>
      <c r="K12" s="396">
        <f>IF(ISNUMBER((Tasas!E12-Datos!BG12)/Datos!BG12),(Tasas!E12-Datos!BG12)/Datos!BG12," - ")</f>
        <v>6.1506810522085877E-2</v>
      </c>
      <c r="M12" t="e">
        <f>IF(Monitorios="SI",Datos!CE12,0)</f>
        <v>#REF!</v>
      </c>
      <c r="N12" t="e">
        <f>IF(Monitorios="SI",Datos!CF12,0)</f>
        <v>#REF!</v>
      </c>
      <c r="O12" t="e">
        <f>IF(Monitorios="SI",Datos!CG12,0)</f>
        <v>#REF!</v>
      </c>
      <c r="P12" t="e">
        <f>IF(Monitorios="SI",Datos!CH12,0)</f>
        <v>#REF!</v>
      </c>
      <c r="Q12">
        <f>IF(J_V="SI",0,Datos!AG12)</f>
        <v>35</v>
      </c>
      <c r="R12">
        <f>IF(J_V="SI",0,Datos!AH12)</f>
        <v>81</v>
      </c>
      <c r="S12">
        <f>IF(J_V="SI",0,Datos!AI12)</f>
        <v>77</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-0.21249999999999999</v>
      </c>
      <c r="I14" s="402">
        <f>IF(ISNUMBER((Tasas!C14-Datos!BE14)/Datos!BE14),(Tasas!C14-Datos!BE14)/Datos!BE14," - ")</f>
        <v>0.11723152631161213</v>
      </c>
      <c r="J14" s="400">
        <f>IF(ISNUMBER((Tasas!D14-Datos!BF14)/Datos!BF14),(Tasas!D14-Datos!BF14)/Datos!BF14," - ")</f>
        <v>-0.48567346614810697</v>
      </c>
      <c r="K14" s="403">
        <f>IF(ISNUMBER((Tasas!E14-Datos!BG14)/Datos!BG14),(Tasas!E14-Datos!BG14)/Datos!BG14," - ")</f>
        <v>6.4587203525294665E-2</v>
      </c>
      <c r="M14" t="e">
        <f>IF(Monitorios="SI",Datos!CE14,0)</f>
        <v>#REF!</v>
      </c>
      <c r="N14" t="e">
        <f>IF(Monitorios="SI",Datos!CF14,0)</f>
        <v>#REF!</v>
      </c>
      <c r="O14" t="e">
        <f>IF(Monitorios="SI",Datos!CG14,0)</f>
        <v>#REF!</v>
      </c>
      <c r="P14" t="e">
        <f>IF(Monitorios="SI",Datos!CH14,0)</f>
        <v>#REF!</v>
      </c>
      <c r="Q14">
        <f>IF(J_V="SI",0,Datos!AG14)</f>
        <v>35</v>
      </c>
      <c r="R14">
        <f>IF(J_V="SI",0,Datos!AH14)</f>
        <v>81</v>
      </c>
      <c r="S14">
        <f>IF(J_V="SI",0,Datos!AI14)</f>
        <v>77</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-7.0921985815602835E-3</v>
      </c>
      <c r="E17" s="393">
        <f>IF(ISNUMBER(
   IF(D_I="SI",(Datos!J17-Datos!T17)/Datos!T17,(Datos!J17+Datos!AD17-(Datos!T17+Datos!AL17))/(Datos!T17+Datos!AL17))
     ),IF(D_I="SI",(Datos!J17-Datos!T17)/Datos!T17,(Datos!J17+Datos!AD17-(Datos!T17+Datos!AL17))/(Datos!T17+Datos!AL17))," - ")</f>
        <v>0.16485225505443235</v>
      </c>
      <c r="F17" s="393">
        <f>IF(ISNUMBER(
   IF(D_I="SI",(Datos!K17-Datos!U17)/Datos!U17,(Datos!K17+Datos!AE17-(Datos!U17+Datos!AM17))/(Datos!U17+Datos!AM17))
     ),IF(D_I="SI",(Datos!K17-Datos!U17)/Datos!U17,(Datos!K17+Datos!AE17-(Datos!U17+Datos!AM17))/(Datos!U17+Datos!AM17))," - ")</f>
        <v>0.33034379671150971</v>
      </c>
      <c r="G17" s="394">
        <f>IF(ISNUMBER(
   IF(D_I="SI",(Datos!L17-Datos!V17)/Datos!V17,(Datos!L17+Datos!AF17-(Datos!V17+Datos!AN17))/(Datos!V17+Datos!AN17))
     ),IF(D_I="SI",(Datos!L17-Datos!V17)/Datos!V17,(Datos!L17+Datos!AF17-(Datos!V17+Datos!AN17))/(Datos!V17+Datos!AN17))," - ")</f>
        <v>-8.9253187613843349E-2</v>
      </c>
      <c r="H17" s="244">
        <f>IF(ISNUMBER((Datos!M17-Datos!W17)/Datos!W17),(Datos!M17-Datos!W17)/Datos!W17," - ")</f>
        <v>0.5</v>
      </c>
      <c r="I17" s="395">
        <f>IF(ISNUMBER((Tasas!C17-Datos!BE17)/Datos!BE17),(Tasas!C17-Datos!BE17)/Datos!BE17," - ")</f>
        <v>-0.31540492417265303</v>
      </c>
      <c r="J17" s="394">
        <f>IF(ISNUMBER((Tasas!D17-Datos!BF17)/Datos!BF17),(Tasas!D17-Datos!BF17)/Datos!BF17," - ")</f>
        <v>0.12752808988764053</v>
      </c>
      <c r="K17" s="396">
        <f>IF(ISNUMBER((Tasas!E17-Datos!BG17)/Datos!BG17),(Tasas!E17-Datos!BG17)/Datos!BG17," - ")</f>
        <v>-0.18479189745212843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-3.7037037037037035E-2</v>
      </c>
      <c r="E18" s="393">
        <f>IF(ISNUMBER(
   IF(D_I="SI",(Datos!J18-Datos!T18)/Datos!T18,(Datos!J18+Datos!AD18-(Datos!T18+Datos!AL18))/(Datos!T18+Datos!AL18))
     ),IF(D_I="SI",(Datos!J18-Datos!T18)/Datos!T18,(Datos!J18+Datos!AD18-(Datos!T18+Datos!AL18))/(Datos!T18+Datos!AL18))," - ")</f>
        <v>0.23809523809523808</v>
      </c>
      <c r="F18" s="393">
        <f>IF(ISNUMBER(
   IF(D_I="SI",(Datos!K18-Datos!U18)/Datos!U18,(Datos!K18+Datos!AE18-(Datos!U18+Datos!AM18))/(Datos!U18+Datos!AM18))
     ),IF(D_I="SI",(Datos!K18-Datos!U18)/Datos!U18,(Datos!K18+Datos!AE18-(Datos!U18+Datos!AM18))/(Datos!U18+Datos!AM18))," - ")</f>
        <v>0.15068493150684931</v>
      </c>
      <c r="G18" s="394">
        <f>IF(ISNUMBER(
   IF(D_I="SI",(Datos!L18-Datos!V18)/Datos!V18,(Datos!L18+Datos!AF18-(Datos!V18+Datos!AN18))/(Datos!V18+Datos!AN18))
     ),IF(D_I="SI",(Datos!L18-Datos!V18)/Datos!V18,(Datos!L18+Datos!AF18-(Datos!V18+Datos!AN18))/(Datos!V18+Datos!AN18))," - ")</f>
        <v>4.5454545454545456E-2</v>
      </c>
      <c r="H18" s="244">
        <f>IF(ISNUMBER((Datos!M18-Datos!W18)/Datos!W18),(Datos!M18-Datos!W18)/Datos!W18," - ")</f>
        <v>8.3333333333333329E-2</v>
      </c>
      <c r="I18" s="395">
        <f>IF(ISNUMBER((Tasas!C18-Datos!BE18)/Datos!BE18),(Tasas!C18-Datos!BE18)/Datos!BE18," - ")</f>
        <v>-9.145021645021631E-2</v>
      </c>
      <c r="J18" s="394">
        <f>IF(ISNUMBER((Tasas!D18-Datos!BF18)/Datos!BF18),(Tasas!D18-Datos!BF18)/Datos!BF18," - ")</f>
        <v>-5.8531746031745949E-2</v>
      </c>
      <c r="K18" s="396">
        <f>IF(ISNUMBER((Tasas!E18-Datos!BG18)/Datos!BG18),(Tasas!E18-Datos!BG18)/Datos!BG18," - ")</f>
        <v>-3.4391534391534341E-2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-9.7087378640776691E-3</v>
      </c>
      <c r="E23" s="399">
        <f>IF(ISNUMBER(
   IF(D_I="SI",(Datos!J23-Datos!T23)/Datos!T23,(Datos!J23+Datos!AD23-(Datos!T23+Datos!AL23))/(Datos!T23+Datos!AL23))
     ),IF(D_I="SI",(Datos!J23-Datos!T23)/Datos!T23,(Datos!J23+Datos!AD23-(Datos!T23+Datos!AL23))/(Datos!T23+Datos!AL23))," - ")</f>
        <v>0.17138810198300283</v>
      </c>
      <c r="F23" s="399">
        <f>IF(ISNUMBER(
   IF(D_I="SI",(Datos!K23-Datos!U23)/Datos!U23,(Datos!K23+Datos!AE23-(Datos!U23+Datos!AM23))/(Datos!U23+Datos!AM23))
     ),IF(D_I="SI",(Datos!K23-Datos!U23)/Datos!U23,(Datos!K23+Datos!AE23-(Datos!U23+Datos!AM23))/(Datos!U23+Datos!AM23))," - ")</f>
        <v>0.31266846361185985</v>
      </c>
      <c r="G23" s="400">
        <f>IF(ISNUMBER(
   IF(D_I="SI",(Datos!L23-Datos!V23)/Datos!V23,(Datos!L23+Datos!AF23-(Datos!V23+Datos!AN23))/(Datos!V23+Datos!AN23))
     ),IF(D_I="SI",(Datos!L23-Datos!V23)/Datos!V23,(Datos!L23+Datos!AF23-(Datos!V23+Datos!AN23))/(Datos!V23+Datos!AN23))," - ")</f>
        <v>-7.9258010118043842E-2</v>
      </c>
      <c r="H23" s="401">
        <f>IF(ISNUMBER((Datos!M23-Datos!W23)/Datos!W23),(Datos!M23-Datos!W23)/Datos!W23," - ")</f>
        <v>0.44186046511627908</v>
      </c>
      <c r="I23" s="402">
        <f>IF(ISNUMBER((Tasas!C23-Datos!BE23)/Datos!BE23),(Tasas!C23-Datos!BE23)/Datos!BE23," - ")</f>
        <v>-0.2985723239297623</v>
      </c>
      <c r="J23" s="400">
        <f>IF(ISNUMBER((Tasas!D23-Datos!BF23)/Datos!BF23),(Tasas!D23-Datos!BF23)/Datos!BF23," - ")</f>
        <v>9.8419368702545293E-2</v>
      </c>
      <c r="K23" s="403">
        <f>IF(ISNUMBER((Tasas!E23-Datos!BG23)/Datos!BG23),(Tasas!E23-Datos!BG23)/Datos!BG23," - ")</f>
        <v>-0.1720239830766081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-0.17682558841279419</v>
      </c>
      <c r="E31" s="409">
        <f>IF(ISNUMBER(
   IF(J_V="SI",(Datos!J31-Datos!T31)/Datos!T31,(Datos!J31+Datos!Z31-(Datos!T31+Datos!AH31))/(Datos!T31+Datos!AH31))
     ),IF(J_V="SI",(Datos!J31-Datos!T31)/Datos!T31,(Datos!J31+Datos!Z31-(Datos!T31+Datos!AH31))/(Datos!T31+Datos!AH31))," - ")</f>
        <v>0.15797914995990378</v>
      </c>
      <c r="F31" s="409">
        <f>IF(ISNUMBER(
   IF(J_V="SI",(Datos!K31-Datos!U31)/Datos!U31,(Datos!K31+Datos!AA31-(Datos!U31+Datos!AI31))/(Datos!U31+Datos!AI31))
     ),IF(J_V="SI",(Datos!K31-Datos!U31)/Datos!U31,(Datos!K31+Datos!AA31-(Datos!U31+Datos!AI31))/(Datos!U31+Datos!AI31))," - ")</f>
        <v>6.7031463748290013E-2</v>
      </c>
      <c r="G31" s="410">
        <f>IF(ISNUMBER(
   IF(J_V="SI",(Datos!L31-Datos!V31)/Datos!V31,(Datos!L31+Datos!AB31-(Datos!V31+Datos!AJ31))/(Datos!V31+Datos!AJ31))
     ),IF(J_V="SI",(Datos!L31-Datos!V31)/Datos!V31,(Datos!L31+Datos!AB31-(Datos!V31+Datos!AJ31))/(Datos!V31+Datos!AJ31))," - ")</f>
        <v>-8.6028905712319345E-2</v>
      </c>
      <c r="H31" s="411">
        <f>IF(ISNUMBER((Datos!M31-Datos!W31)/Datos!W31),(Datos!M31-Datos!W31)/Datos!W31," - ")</f>
        <v>1.6260162601626018E-2</v>
      </c>
      <c r="I31" s="408">
        <f>IF(ISNUMBER((Tasas!C31-Datos!BE31)/Datos!BE31),(Tasas!C31-Datos!BE31)/Datos!BE31," - ")</f>
        <v>-0.14344503855859678</v>
      </c>
      <c r="J31" s="409">
        <f>IF(ISNUMBER((Tasas!D31-Datos!BF31)/Datos!BF31),(Tasas!D31-Datos!BF31)/Datos!BF31," - ")</f>
        <v>-0.39458689458689455</v>
      </c>
      <c r="K31" s="410">
        <f>IF(ISNUMBER((Tasas!E31-Datos!BG31)/Datos!BG31),(Tasas!E31-Datos!BG31)/Datos!BG31," - ")</f>
        <v>-9.3801652892561968E-2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0.14953614975326202</v>
      </c>
      <c r="E33" s="303">
        <f t="shared" si="1"/>
        <v>0.40264052221184538</v>
      </c>
      <c r="F33" s="303">
        <f t="shared" si="1"/>
        <v>0.4339975630266304</v>
      </c>
      <c r="G33" s="304">
        <f t="shared" si="1"/>
        <v>0.16620111341747157</v>
      </c>
      <c r="H33" s="310">
        <f t="shared" si="1"/>
        <v>0.48360127092179139</v>
      </c>
      <c r="I33" s="302">
        <f t="shared" si="1"/>
        <v>0.33352253100077389</v>
      </c>
      <c r="J33" s="303">
        <f t="shared" si="1"/>
        <v>0.30882175638577419</v>
      </c>
      <c r="K33" s="304">
        <f t="shared" si="1"/>
        <v>0.18455716046008949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rb0BBmuNZ7h3qRNAmnYp/IRpdb9py9NHgGMkFC7iFsDSBCXyQI3mJvfCjJsjf7doAOsIYsuWH+Y3WLsGpuwQ==" saltValue="DusGH7Vkth42Ka1BE+Gw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